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nia.bernardes\Downloads\"/>
    </mc:Choice>
  </mc:AlternateContent>
  <xr:revisionPtr revIDLastSave="0" documentId="13_ncr:1_{AEB8FC89-8BCF-45B6-9925-B257CDA49299}" xr6:coauthVersionLast="47" xr6:coauthVersionMax="47" xr10:uidLastSave="{00000000-0000-0000-0000-000000000000}"/>
  <bookViews>
    <workbookView xWindow="-120" yWindow="-120" windowWidth="29040" windowHeight="15840" xr2:uid="{FF725719-62CE-48F3-8DF6-CC450A3A3EA0}"/>
  </bookViews>
  <sheets>
    <sheet name="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8" i="1" l="1"/>
  <c r="D125" i="1"/>
  <c r="L124" i="1"/>
  <c r="D168" i="1"/>
  <c r="D167" i="1"/>
  <c r="H78" i="1"/>
  <c r="H79" i="1"/>
  <c r="H80" i="1"/>
  <c r="H81" i="1"/>
  <c r="H82" i="1"/>
  <c r="H83" i="1"/>
  <c r="H70" i="1"/>
  <c r="H69" i="1"/>
  <c r="H68" i="1"/>
  <c r="H67" i="1"/>
  <c r="H66" i="1"/>
  <c r="H65" i="1"/>
  <c r="F23" i="1" l="1"/>
  <c r="G91" i="1"/>
  <c r="G90" i="1"/>
  <c r="G89" i="1"/>
  <c r="G88" i="1"/>
  <c r="G87" i="1"/>
  <c r="D176" i="1"/>
  <c r="D163" i="1"/>
  <c r="D162" i="1"/>
  <c r="D157" i="1"/>
  <c r="D156" i="1"/>
  <c r="D155" i="1"/>
  <c r="D154" i="1"/>
  <c r="F258" i="1"/>
  <c r="F257" i="1"/>
  <c r="F256" i="1"/>
  <c r="F255" i="1"/>
  <c r="F254" i="1"/>
  <c r="F253" i="1"/>
  <c r="F252" i="1"/>
  <c r="F251" i="1"/>
  <c r="F249" i="1"/>
  <c r="F248" i="1"/>
  <c r="F247" i="1"/>
  <c r="F246" i="1"/>
  <c r="F245" i="1"/>
  <c r="D238" i="1"/>
  <c r="D237" i="1"/>
  <c r="D236" i="1"/>
  <c r="D235" i="1"/>
  <c r="D234" i="1"/>
  <c r="E229" i="1"/>
  <c r="E228" i="1"/>
  <c r="E227" i="1"/>
  <c r="D212" i="1"/>
  <c r="D211" i="1"/>
  <c r="I59" i="1" l="1"/>
  <c r="I58" i="1"/>
  <c r="I57" i="1"/>
  <c r="I56" i="1"/>
  <c r="I55" i="1"/>
  <c r="H59" i="1"/>
  <c r="H58" i="1"/>
  <c r="H57" i="1"/>
  <c r="H56" i="1"/>
  <c r="H55" i="1"/>
  <c r="G59" i="1"/>
  <c r="G58" i="1"/>
  <c r="G57" i="1"/>
  <c r="G56" i="1"/>
  <c r="G55" i="1"/>
  <c r="F59" i="1"/>
  <c r="F58" i="1"/>
  <c r="F57" i="1"/>
  <c r="F56" i="1"/>
  <c r="F55" i="1"/>
  <c r="E59" i="1"/>
  <c r="E58" i="1"/>
  <c r="E57" i="1"/>
  <c r="E56" i="1"/>
  <c r="E55" i="1"/>
  <c r="D59" i="1"/>
  <c r="D57" i="1"/>
  <c r="D56" i="1"/>
  <c r="D55" i="1"/>
  <c r="I49" i="1"/>
  <c r="I48" i="1"/>
  <c r="I47" i="1"/>
  <c r="I46" i="1"/>
  <c r="I45" i="1"/>
  <c r="H49" i="1"/>
  <c r="H48" i="1"/>
  <c r="H47" i="1"/>
  <c r="H46" i="1"/>
  <c r="H45" i="1"/>
  <c r="G49" i="1"/>
  <c r="G48" i="1"/>
  <c r="G47" i="1"/>
  <c r="G46" i="1"/>
  <c r="G45" i="1"/>
  <c r="F49" i="1"/>
  <c r="F48" i="1"/>
  <c r="F47" i="1"/>
  <c r="F46" i="1"/>
  <c r="F45" i="1"/>
  <c r="D49" i="1"/>
  <c r="D48" i="1"/>
  <c r="D47" i="1"/>
  <c r="D46" i="1"/>
  <c r="D45" i="1"/>
  <c r="E33" i="1"/>
  <c r="E32" i="1"/>
  <c r="E31" i="1"/>
  <c r="E30" i="1"/>
  <c r="E29" i="1"/>
  <c r="E28" i="1"/>
  <c r="H23" i="1"/>
  <c r="H22" i="1"/>
  <c r="H21" i="1"/>
  <c r="G23" i="1"/>
  <c r="G22" i="1"/>
  <c r="G21" i="1"/>
  <c r="F22" i="1"/>
  <c r="F21" i="1"/>
  <c r="E23" i="1"/>
  <c r="E22" i="1"/>
  <c r="E21" i="1"/>
  <c r="D106" i="1" l="1"/>
  <c r="D105" i="1"/>
  <c r="D104" i="1"/>
  <c r="D103" i="1"/>
  <c r="D102" i="1"/>
  <c r="D101" i="1"/>
  <c r="D94" i="1"/>
  <c r="D93" i="1"/>
  <c r="D92" i="1"/>
  <c r="D91" i="1"/>
  <c r="D90" i="1"/>
  <c r="D89" i="1"/>
  <c r="D83" i="1"/>
  <c r="D82" i="1"/>
  <c r="D81" i="1"/>
  <c r="D80" i="1"/>
  <c r="D79" i="1"/>
  <c r="D78" i="1"/>
  <c r="D70" i="1"/>
  <c r="D69" i="1"/>
  <c r="D68" i="1"/>
  <c r="D67" i="1"/>
  <c r="D66" i="1"/>
  <c r="D65" i="1"/>
  <c r="H343" i="1" l="1"/>
  <c r="H342" i="1"/>
  <c r="H341" i="1"/>
  <c r="H340" i="1"/>
  <c r="H339" i="1"/>
  <c r="F343" i="1"/>
  <c r="F342" i="1"/>
  <c r="F341" i="1"/>
  <c r="F340" i="1"/>
  <c r="F339" i="1"/>
  <c r="D343" i="1"/>
  <c r="D342" i="1"/>
  <c r="D341" i="1"/>
  <c r="D340" i="1"/>
  <c r="D339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H331" i="1"/>
  <c r="H330" i="1"/>
  <c r="H329" i="1"/>
  <c r="H328" i="1"/>
  <c r="H327" i="1"/>
  <c r="H326" i="1"/>
  <c r="H325" i="1"/>
  <c r="H324" i="1" l="1"/>
  <c r="H323" i="1"/>
  <c r="H322" i="1"/>
  <c r="H321" i="1"/>
  <c r="H320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G280" i="1"/>
  <c r="G279" i="1"/>
  <c r="E280" i="1"/>
  <c r="E279" i="1"/>
  <c r="G274" i="1"/>
  <c r="G271" i="1"/>
  <c r="G273" i="1"/>
  <c r="G272" i="1"/>
  <c r="E274" i="1"/>
  <c r="E273" i="1"/>
  <c r="E272" i="1"/>
  <c r="E271" i="1"/>
  <c r="E270" i="1"/>
  <c r="H270" i="1" s="1"/>
  <c r="D130" i="1"/>
  <c r="D129" i="1"/>
  <c r="D128" i="1"/>
  <c r="D127" i="1"/>
  <c r="D126" i="1"/>
  <c r="L126" i="1"/>
  <c r="L125" i="1"/>
  <c r="H125" i="1"/>
  <c r="D124" i="1"/>
  <c r="F124" i="1" s="1"/>
  <c r="D123" i="1"/>
  <c r="H123" i="1" s="1"/>
  <c r="D122" i="1"/>
  <c r="D121" i="1"/>
  <c r="H121" i="1" s="1"/>
  <c r="D120" i="1"/>
  <c r="L119" i="1"/>
  <c r="I119" i="1"/>
  <c r="L118" i="1"/>
  <c r="I118" i="1"/>
  <c r="E49" i="1"/>
  <c r="E48" i="1"/>
  <c r="E47" i="1"/>
  <c r="E46" i="1"/>
  <c r="E45" i="1"/>
  <c r="H272" i="1" l="1"/>
  <c r="H274" i="1"/>
  <c r="H273" i="1"/>
  <c r="H279" i="1"/>
  <c r="H280" i="1"/>
  <c r="H271" i="1"/>
  <c r="F120" i="1"/>
  <c r="H120" i="1" s="1"/>
  <c r="H124" i="1"/>
  <c r="F125" i="1"/>
  <c r="I125" i="1" s="1"/>
  <c r="F121" i="1"/>
  <c r="I121" i="1" s="1"/>
  <c r="L121" i="1" s="1"/>
  <c r="F122" i="1"/>
  <c r="F126" i="1"/>
  <c r="H122" i="1"/>
  <c r="F123" i="1"/>
  <c r="I123" i="1" s="1"/>
  <c r="L123" i="1" s="1"/>
  <c r="H126" i="1"/>
  <c r="I120" i="1" l="1"/>
  <c r="L120" i="1" s="1"/>
  <c r="I126" i="1"/>
  <c r="I122" i="1"/>
  <c r="L122" i="1" s="1"/>
</calcChain>
</file>

<file path=xl/sharedStrings.xml><?xml version="1.0" encoding="utf-8"?>
<sst xmlns="http://schemas.openxmlformats.org/spreadsheetml/2006/main" count="356" uniqueCount="180">
  <si>
    <t>SUBSECRETARIA DE GESTÃO DE PESSOAL E DE PAGAMENTO</t>
  </si>
  <si>
    <t>DEPARTAMENTO  DE PAGAMENTO DE PESSOAL</t>
  </si>
  <si>
    <t>REAJUSTE</t>
  </si>
  <si>
    <t>VENCIMENTO INICIAL DO CARGO EFETIVO</t>
  </si>
  <si>
    <r>
      <t xml:space="preserve">VENCIMENTO DO CARGO EFETIVO DA </t>
    </r>
    <r>
      <rPr>
        <b/>
        <u/>
        <sz val="12"/>
        <color theme="1"/>
        <rFont val="Calibri"/>
        <family val="2"/>
      </rPr>
      <t>SUTEN</t>
    </r>
  </si>
  <si>
    <t>AGENTE DE TRÂNSITO - LEI 3401/2019</t>
  </si>
  <si>
    <t>CLASSES/REFERÊNCIAS</t>
  </si>
  <si>
    <t>IV</t>
  </si>
  <si>
    <t>III</t>
  </si>
  <si>
    <t>II</t>
  </si>
  <si>
    <t>I</t>
  </si>
  <si>
    <t>C</t>
  </si>
  <si>
    <t>B</t>
  </si>
  <si>
    <t>A</t>
  </si>
  <si>
    <t>CLASSE C</t>
  </si>
  <si>
    <t>CLASSE B</t>
  </si>
  <si>
    <t>CLASSE A</t>
  </si>
  <si>
    <t>Ref - V</t>
  </si>
  <si>
    <t>Ref - IV</t>
  </si>
  <si>
    <t>Ref - III</t>
  </si>
  <si>
    <t>Ref - II</t>
  </si>
  <si>
    <t>Ref - I</t>
  </si>
  <si>
    <t>MEIO AMBINTE E RECURSOS HIDRICOS</t>
  </si>
  <si>
    <t>CARGO</t>
  </si>
  <si>
    <t>NÍVEL</t>
  </si>
  <si>
    <t>VALOR</t>
  </si>
  <si>
    <t>FISCAL DO MEIO AMBIENTE</t>
  </si>
  <si>
    <t>ENGENHEIRO FLORESTAL</t>
  </si>
  <si>
    <t>ENGENHEIRO SANITARISTA</t>
  </si>
  <si>
    <t>ENGENHEIRO QUÍMICO</t>
  </si>
  <si>
    <t>BIÓLOGO</t>
  </si>
  <si>
    <t>GEÓGRAFO</t>
  </si>
  <si>
    <t xml:space="preserve">LEIS 1070/92  E  1072/92  </t>
  </si>
  <si>
    <t xml:space="preserve"> QUADROS DE PESSOAL SMA E SMU</t>
  </si>
  <si>
    <t xml:space="preserve">                                     CATEGORIAS</t>
  </si>
  <si>
    <t>V</t>
  </si>
  <si>
    <t>VI</t>
  </si>
  <si>
    <t>QUADRO FAZENDÁRIO – LEI 961/91</t>
  </si>
  <si>
    <t>CATEGORIAS</t>
  </si>
  <si>
    <r>
      <t>FISCAIS DE POSTURA E OBRAS – TABELA SMA E SMU  -    PROCESSO:70/353/2020 (</t>
    </r>
    <r>
      <rPr>
        <b/>
        <sz val="11"/>
        <color theme="1"/>
        <rFont val="Calibri"/>
        <family val="2"/>
      </rPr>
      <t>com incorporação de 41% da produtividade ao vencimento)</t>
    </r>
  </si>
  <si>
    <t>NÍVEL  - 04</t>
  </si>
  <si>
    <r>
      <t>FISCAIS DE POSTURA E OBRAS – TABELA SMFPROCESSO:70/353/2020(</t>
    </r>
    <r>
      <rPr>
        <b/>
        <sz val="11"/>
        <color theme="1"/>
        <rFont val="Calibri"/>
        <family val="2"/>
      </rPr>
      <t>com incorporação de 41% da produtividade ao vencimento)</t>
    </r>
  </si>
  <si>
    <t xml:space="preserve">FISCAL DE TRIBUTOS </t>
  </si>
  <si>
    <t>NÍVEL  - 05</t>
  </si>
  <si>
    <t>ENGENHEIRO, ARQUITETO E ECONOMISTA</t>
  </si>
  <si>
    <t>06 (SEIS) SALÁRIOS</t>
  </si>
  <si>
    <t>CATEGORIA</t>
  </si>
  <si>
    <t>5 - I</t>
  </si>
  <si>
    <t>5 - II</t>
  </si>
  <si>
    <t>5 - III</t>
  </si>
  <si>
    <t>5 - IV</t>
  </si>
  <si>
    <t>5 - V</t>
  </si>
  <si>
    <t>5 - VI</t>
  </si>
  <si>
    <t>PRODUTIVIDADE FISCAL</t>
  </si>
  <si>
    <t xml:space="preserve">VALOR </t>
  </si>
  <si>
    <t>Fiscal de Tributos</t>
  </si>
  <si>
    <t>Fiscal de Posturas</t>
  </si>
  <si>
    <t xml:space="preserve">Fiscal de Obras </t>
  </si>
  <si>
    <t>Fiscal de Sistema Viário</t>
  </si>
  <si>
    <t>Fiscal do Meio Ambiente</t>
  </si>
  <si>
    <t>CARGO EM COMISSÃO E FUNÇÃO GRATIFICADA</t>
  </si>
  <si>
    <t>SÍMBOLO</t>
  </si>
  <si>
    <t>VLR DO SÍMBOLO</t>
  </si>
  <si>
    <t>T. I.</t>
  </si>
  <si>
    <t>T.I.</t>
  </si>
  <si>
    <t>T.T.C.</t>
  </si>
  <si>
    <t>Sub TOTAL</t>
  </si>
  <si>
    <t>VLR Aux Transp.</t>
  </si>
  <si>
    <t xml:space="preserve">VLR </t>
  </si>
  <si>
    <t>Vlr</t>
  </si>
  <si>
    <t>Abono</t>
  </si>
  <si>
    <t>Total</t>
  </si>
  <si>
    <t>Refeição</t>
  </si>
  <si>
    <t>BRUTO</t>
  </si>
  <si>
    <t>SS</t>
  </si>
  <si>
    <t>**</t>
  </si>
  <si>
    <t>*</t>
  </si>
  <si>
    <t>DG</t>
  </si>
  <si>
    <t>CC1</t>
  </si>
  <si>
    <t>CC2</t>
  </si>
  <si>
    <t>CC3</t>
  </si>
  <si>
    <t>FG1**</t>
  </si>
  <si>
    <t>FG2**</t>
  </si>
  <si>
    <t>FG3**</t>
  </si>
  <si>
    <t>FG4**</t>
  </si>
  <si>
    <t>* Remuneração complementada para o salário mínimo.</t>
  </si>
  <si>
    <t>** A função gratificada somente é designado servidor efetivo, o tempo integral é calculado</t>
  </si>
  <si>
    <t>sobre o vencimento do cargo efetivo.</t>
  </si>
  <si>
    <t>Nota:  O servidor efetivo nomeado para cargo em comissão (símbolos DG, CC1, CC2 e outros), em caso de</t>
  </si>
  <si>
    <t>opção receberá 2/3 do valor do símbolo, neste caso o tempo integral será calculado sobre o vencimento</t>
  </si>
  <si>
    <t>do cargo efetivo, o T.T.C. será sempre o mesmo valor.</t>
  </si>
  <si>
    <r>
      <t>·</t>
    </r>
    <r>
      <rPr>
        <sz val="7"/>
        <color rgb="FFFF0000"/>
        <rFont val="Times New Roman"/>
        <family val="1"/>
      </rPr>
      <t xml:space="preserve">         </t>
    </r>
    <r>
      <rPr>
        <b/>
        <u/>
        <sz val="12"/>
        <color theme="1"/>
        <rFont val="Calibri"/>
        <family val="2"/>
      </rPr>
      <t>CC5</t>
    </r>
    <r>
      <rPr>
        <b/>
        <sz val="12"/>
        <color theme="1"/>
        <rFont val="Calibri"/>
        <family val="2"/>
      </rPr>
      <t xml:space="preserve"> – 221 </t>
    </r>
  </si>
  <si>
    <r>
      <t>·</t>
    </r>
    <r>
      <rPr>
        <sz val="7"/>
        <color rgb="FFFF0000"/>
        <rFont val="Times New Roman"/>
        <family val="1"/>
      </rPr>
      <t xml:space="preserve">         </t>
    </r>
    <r>
      <rPr>
        <b/>
        <u/>
        <sz val="12"/>
        <color theme="1"/>
        <rFont val="Calibri"/>
        <family val="2"/>
      </rPr>
      <t>CC4</t>
    </r>
    <r>
      <rPr>
        <b/>
        <sz val="12"/>
        <color theme="1"/>
        <rFont val="Calibri"/>
        <family val="2"/>
      </rPr>
      <t xml:space="preserve">  - 221 </t>
    </r>
  </si>
  <si>
    <t xml:space="preserve">                     - 1800= </t>
  </si>
  <si>
    <t>SALARIO MININO</t>
  </si>
  <si>
    <t>SUBSÍDIOS</t>
  </si>
  <si>
    <t>PREFEITO</t>
  </si>
  <si>
    <t>VICE-PREFEITO</t>
  </si>
  <si>
    <t>SECRETÁRIOS MUNICIPAIS</t>
  </si>
  <si>
    <t>PROCURADOR GERAL</t>
  </si>
  <si>
    <t>VALORES DE PISO SALARIAL</t>
  </si>
  <si>
    <t>PISO</t>
  </si>
  <si>
    <t xml:space="preserve">NÍVEL SUPERIOR </t>
  </si>
  <si>
    <t>MENOR PISO</t>
  </si>
  <si>
    <t>BENEFÍCIOS</t>
  </si>
  <si>
    <t>AUXILIO-TRANSPORTE</t>
  </si>
  <si>
    <t>ABONO-REFEIÇÃO</t>
  </si>
  <si>
    <r>
      <t xml:space="preserve">SALÁRIO-FAMÍLIA </t>
    </r>
    <r>
      <rPr>
        <b/>
        <sz val="7"/>
        <color theme="1"/>
        <rFont val="Calibri"/>
        <family val="2"/>
      </rPr>
      <t>(por dependente)</t>
    </r>
  </si>
  <si>
    <t>TETO REMUNERAÇÃO CONSTITUCIONAL</t>
  </si>
  <si>
    <t>REMUNERAÇÃO LIMITE</t>
  </si>
  <si>
    <t>PROCURADORES</t>
  </si>
  <si>
    <r>
      <t xml:space="preserve">TETO DO PREFEITO </t>
    </r>
    <r>
      <rPr>
        <sz val="9"/>
        <color theme="1"/>
        <rFont val="Calibri"/>
        <family val="2"/>
      </rPr>
      <t>(demais servidores</t>
    </r>
  </si>
  <si>
    <t>SALÁRIO MÍNIMO –MP 1172/2023</t>
  </si>
  <si>
    <t>=TABELA DE VENCIMENTOS – PROCURADORIA=</t>
  </si>
  <si>
    <t xml:space="preserve">  - LEI Nº 3359/2018 (06/07/2018)-</t>
  </si>
  <si>
    <t>GRADUAÇÃO JURIDICA OU ADM.</t>
  </si>
  <si>
    <t>ESPEC. JURÍDICA OU GESTÃO</t>
  </si>
  <si>
    <t>MESTRADO</t>
  </si>
  <si>
    <t>DOUTORADO</t>
  </si>
  <si>
    <t>PÓS DOUTORADO</t>
  </si>
  <si>
    <t>PROCURADOR DO MUNICIPIO</t>
  </si>
  <si>
    <t>ANALISTA DE PROCURADORIA</t>
  </si>
  <si>
    <t>TÉCNICO DE PROCURADORIA</t>
  </si>
  <si>
    <r>
      <t xml:space="preserve">TÉCNICO DE PROCURADORIA </t>
    </r>
    <r>
      <rPr>
        <b/>
        <sz val="11"/>
        <color theme="1"/>
        <rFont val="Calibri"/>
        <family val="2"/>
      </rPr>
      <t>(ENSINO MÉDIO COMPLETO)</t>
    </r>
  </si>
  <si>
    <r>
      <t>ANALISTA DE PROCURADORIA</t>
    </r>
    <r>
      <rPr>
        <b/>
        <sz val="11"/>
        <color theme="1"/>
        <rFont val="Calibri"/>
        <family val="2"/>
      </rPr>
      <t>(ENSINO SUPERIOR COMPLETO)</t>
    </r>
  </si>
  <si>
    <t>CLASSE</t>
  </si>
  <si>
    <t>PROCURADOR</t>
  </si>
  <si>
    <t>CLASSES</t>
  </si>
  <si>
    <t>VENCIMENTOS</t>
  </si>
  <si>
    <t>CLASSE III – CATEGORIA II</t>
  </si>
  <si>
    <t>CLASSE III – CATEGORIA I</t>
  </si>
  <si>
    <t>CLASSE II – CATEGORIA II</t>
  </si>
  <si>
    <t>CLASSE II – CATEGORIA I</t>
  </si>
  <si>
    <t>CLASSE I</t>
  </si>
  <si>
    <t>D</t>
  </si>
  <si>
    <t>AUDITOR MUNICIPAL DE CONTROLE INTERNO</t>
  </si>
  <si>
    <t>AMCI</t>
  </si>
  <si>
    <t>a partir de 02/2024</t>
  </si>
  <si>
    <t>a partir de 02/2025</t>
  </si>
  <si>
    <t>SM</t>
  </si>
  <si>
    <t>QUANTITATIVO</t>
  </si>
  <si>
    <t>GRATIFICAÇÃO DE PROCURADORIA</t>
  </si>
  <si>
    <r>
      <t>TECNICO DE PROCURADORIA</t>
    </r>
    <r>
      <rPr>
        <b/>
        <sz val="11"/>
        <color theme="1"/>
        <rFont val="Calibri"/>
        <family val="2"/>
      </rPr>
      <t>(ENSINO MEDIO COMPLETO)</t>
    </r>
  </si>
  <si>
    <t>CARGOS EM COMISSÃO DO TÉCNICO DE INFORMAÇÃO E COMUNICAÇÃO (TIC)</t>
  </si>
  <si>
    <t>VALOR DO SÍMBOLO</t>
  </si>
  <si>
    <t>TOTAL BRUTO</t>
  </si>
  <si>
    <t>CARGOS EM COMISSÃO ASSESSOR ESPECIAL 1 E 2</t>
  </si>
  <si>
    <t>AE1</t>
  </si>
  <si>
    <t>AE2</t>
  </si>
  <si>
    <t xml:space="preserve">LEI N° 3.704 DE 19 DE MAIO 2022 </t>
  </si>
  <si>
    <r>
      <t xml:space="preserve">                            </t>
    </r>
    <r>
      <rPr>
        <b/>
        <sz val="12"/>
        <color theme="1"/>
        <rFont val="Calibri"/>
        <family val="2"/>
        <scheme val="minor"/>
      </rPr>
      <t xml:space="preserve">  VENCIMENTO - AUDITOR MUNICIPAL E ANALISTA DE POLITICAS PUBLICAS</t>
    </r>
  </si>
  <si>
    <t>PROJETO DE LEI N° 071 DE 21 DE JUNHO DE 2023</t>
  </si>
  <si>
    <t xml:space="preserve">   CONTADOR SMF - ANEXO II</t>
  </si>
  <si>
    <t>CONTADOR</t>
  </si>
  <si>
    <t xml:space="preserve">                                                                                                     VENCIMENTO BASICO DOS CARGOS</t>
  </si>
  <si>
    <t>PNS DO SUAS</t>
  </si>
  <si>
    <t>TÉCNICO DO SUAS</t>
  </si>
  <si>
    <t>AUXILIAR DO SUAS</t>
  </si>
  <si>
    <t xml:space="preserve"> =  TABELA DE VENCIMENTOS - SMASES =</t>
  </si>
  <si>
    <t xml:space="preserve"> LEI Nº 3798/2023 (29/06/2023)</t>
  </si>
  <si>
    <t>NÍVEL 1</t>
  </si>
  <si>
    <t>NÍVEL 2</t>
  </si>
  <si>
    <t>NÍVEL 3</t>
  </si>
  <si>
    <t>NÍVEL 4</t>
  </si>
  <si>
    <t>NÍVEL 5</t>
  </si>
  <si>
    <t>GUARDA MUNICIPAL - LEI 3840/2023 (DE 24/11/2023)</t>
  </si>
  <si>
    <t>JANEIRO/2024</t>
  </si>
  <si>
    <t>T.T.C. -%</t>
  </si>
  <si>
    <t>T.I. - %</t>
  </si>
  <si>
    <t>TIC 1 =           7330,96</t>
  </si>
  <si>
    <t>TIC 2 =          4962,49</t>
  </si>
  <si>
    <t>TIC  3 =          4060,45</t>
  </si>
  <si>
    <t>TIC  4 =          3157,95</t>
  </si>
  <si>
    <t>TIC 5  =        1804,54</t>
  </si>
  <si>
    <r>
      <t>FISCAIS DE POSTURA E OBRAS – TABELA SMA E SMU  - (</t>
    </r>
    <r>
      <rPr>
        <b/>
        <u/>
        <sz val="11"/>
        <color theme="7" tint="0.59999389629810485"/>
        <rFont val="Calibri"/>
        <family val="2"/>
      </rPr>
      <t xml:space="preserve">SEM incorporação </t>
    </r>
    <r>
      <rPr>
        <b/>
        <sz val="11"/>
        <color theme="1"/>
        <rFont val="Calibri"/>
        <family val="2"/>
      </rPr>
      <t>de 41% da produtividade ao vencimento)</t>
    </r>
  </si>
  <si>
    <r>
      <t>FISCAIS DE POSTURA E OBRAS – (</t>
    </r>
    <r>
      <rPr>
        <b/>
        <sz val="14"/>
        <color theme="7" tint="0.59999389629810485"/>
        <rFont val="Calibri"/>
        <family val="2"/>
      </rPr>
      <t>SEM</t>
    </r>
    <r>
      <rPr>
        <b/>
        <sz val="11"/>
        <color theme="7" tint="0.59999389629810485"/>
        <rFont val="Calibri"/>
        <family val="2"/>
      </rPr>
      <t xml:space="preserve"> incorporação</t>
    </r>
    <r>
      <rPr>
        <b/>
        <sz val="11"/>
        <color theme="1"/>
        <rFont val="Calibri"/>
        <family val="2"/>
      </rPr>
      <t xml:space="preserve"> de 41% da produtividade ao vencimento)</t>
    </r>
  </si>
  <si>
    <r>
      <t>CC4</t>
    </r>
    <r>
      <rPr>
        <b/>
        <sz val="11"/>
        <color rgb="FFFF0000"/>
        <rFont val="Calibri"/>
        <family val="2"/>
      </rPr>
      <t>*</t>
    </r>
  </si>
  <si>
    <r>
      <t>CC6</t>
    </r>
    <r>
      <rPr>
        <b/>
        <sz val="11"/>
        <color rgb="FFFF0000"/>
        <rFont val="Calibri"/>
        <family val="2"/>
      </rPr>
      <t>*</t>
    </r>
  </si>
  <si>
    <t>CC5*</t>
  </si>
  <si>
    <t xml:space="preserve">              - A PARTIR DE 01/06/2024 - LEI Nº  3932/2024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</si>
</sst>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</numFmts>
  <fonts count="5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rgb="FFFF0000"/>
      <name val="Calibri"/>
      <family val="2"/>
    </font>
    <font>
      <b/>
      <u/>
      <sz val="12"/>
      <color theme="1"/>
      <name val="Calibri"/>
      <family val="2"/>
    </font>
    <font>
      <b/>
      <sz val="12"/>
      <name val="Calibri"/>
      <family val="2"/>
    </font>
    <font>
      <sz val="12"/>
      <color rgb="FF000000"/>
      <name val="Calibri"/>
      <family val="2"/>
    </font>
    <font>
      <b/>
      <sz val="12"/>
      <color rgb="FF548DD4"/>
      <name val="Calibri"/>
      <family val="2"/>
    </font>
    <font>
      <b/>
      <sz val="8"/>
      <color theme="1"/>
      <name val="Calibri"/>
      <family val="2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b/>
      <i/>
      <u/>
      <sz val="14"/>
      <color theme="1"/>
      <name val="Calibri"/>
      <family val="2"/>
    </font>
    <font>
      <b/>
      <sz val="13"/>
      <color theme="1"/>
      <name val="Calibri"/>
      <family val="2"/>
    </font>
    <font>
      <b/>
      <sz val="10"/>
      <color theme="1"/>
      <name val="Calibri"/>
      <family val="2"/>
    </font>
    <font>
      <b/>
      <sz val="11"/>
      <color rgb="FFFF0000"/>
      <name val="Calibri"/>
      <family val="2"/>
    </font>
    <font>
      <sz val="12"/>
      <color rgb="FFFF0000"/>
      <name val="Symbol"/>
      <family val="1"/>
      <charset val="2"/>
    </font>
    <font>
      <sz val="7"/>
      <color rgb="FFFF0000"/>
      <name val="Times New Roman"/>
      <family val="1"/>
    </font>
    <font>
      <sz val="12"/>
      <color rgb="FFFF0000"/>
      <name val="Simplified Arabic Fixed"/>
      <family val="3"/>
    </font>
    <font>
      <sz val="11"/>
      <color theme="1"/>
      <name val="Calibri"/>
      <family val="2"/>
    </font>
    <font>
      <b/>
      <sz val="7"/>
      <color theme="1"/>
      <name val="Calibri"/>
      <family val="2"/>
    </font>
    <font>
      <sz val="9"/>
      <color theme="1"/>
      <name val="Calibri"/>
      <family val="2"/>
    </font>
    <font>
      <b/>
      <u/>
      <sz val="14"/>
      <color theme="1"/>
      <name val="Times New Roman"/>
      <family val="1"/>
    </font>
    <font>
      <b/>
      <u/>
      <sz val="14"/>
      <color theme="1"/>
      <name val="Calibri"/>
      <family val="2"/>
    </font>
    <font>
      <b/>
      <sz val="14"/>
      <color rgb="FFFF0000"/>
      <name val="Calibri"/>
      <family val="2"/>
    </font>
    <font>
      <sz val="16"/>
      <color theme="1"/>
      <name val="Calibri"/>
      <family val="2"/>
    </font>
    <font>
      <b/>
      <sz val="14"/>
      <color theme="0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4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</font>
    <font>
      <b/>
      <u/>
      <sz val="11"/>
      <color theme="7" tint="0.59999389629810485"/>
      <name val="Calibri"/>
      <family val="2"/>
    </font>
    <font>
      <b/>
      <sz val="14"/>
      <color theme="7" tint="0.59999389629810485"/>
      <name val="Calibri"/>
      <family val="2"/>
    </font>
    <font>
      <b/>
      <sz val="11"/>
      <color theme="7" tint="0.59999389629810485"/>
      <name val="Calibri"/>
      <family val="2"/>
    </font>
    <font>
      <b/>
      <sz val="12"/>
      <color theme="1"/>
      <name val="Simplified Arabic Fixed"/>
      <family val="3"/>
      <charset val="178"/>
    </font>
    <font>
      <b/>
      <u/>
      <sz val="12"/>
      <name val="Calibri"/>
      <family val="2"/>
    </font>
    <font>
      <b/>
      <sz val="14"/>
      <name val="Calibri"/>
      <family val="2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0A0A0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1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0" fontId="4" fillId="0" borderId="0" xfId="0" applyNumberFormat="1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4" fontId="0" fillId="0" borderId="0" xfId="0" applyNumberFormat="1"/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" fontId="6" fillId="0" borderId="0" xfId="0" applyNumberFormat="1" applyFont="1" applyAlignment="1">
      <alignment horizontal="right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4" fontId="13" fillId="0" borderId="3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8" fillId="0" borderId="0" xfId="0" applyFont="1" applyAlignment="1">
      <alignment horizontal="left" vertical="center" indent="5"/>
    </xf>
    <xf numFmtId="4" fontId="0" fillId="0" borderId="0" xfId="0" applyNumberForma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0" fillId="0" borderId="0" xfId="0" applyFont="1" applyAlignment="1">
      <alignment horizontal="left" vertical="center" indent="5"/>
    </xf>
    <xf numFmtId="0" fontId="5" fillId="2" borderId="2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vertical="center" wrapText="1"/>
    </xf>
    <xf numFmtId="0" fontId="5" fillId="3" borderId="0" xfId="0" applyFont="1" applyFill="1" applyAlignment="1">
      <alignment vertical="center" wrapText="1"/>
    </xf>
    <xf numFmtId="0" fontId="6" fillId="3" borderId="0" xfId="0" applyFont="1" applyFill="1" applyAlignment="1">
      <alignment horizontal="center" vertical="center" wrapText="1"/>
    </xf>
    <xf numFmtId="17" fontId="5" fillId="3" borderId="3" xfId="0" applyNumberFormat="1" applyFont="1" applyFill="1" applyBorder="1" applyAlignment="1">
      <alignment horizontal="center" vertical="center" wrapText="1"/>
    </xf>
    <xf numFmtId="17" fontId="5" fillId="0" borderId="3" xfId="0" applyNumberFormat="1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9" fontId="5" fillId="3" borderId="3" xfId="0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0" fontId="21" fillId="0" borderId="22" xfId="0" applyFont="1" applyBorder="1" applyAlignment="1">
      <alignment vertical="center" wrapText="1"/>
    </xf>
    <xf numFmtId="0" fontId="27" fillId="0" borderId="22" xfId="0" applyFont="1" applyBorder="1" applyAlignment="1">
      <alignment horizontal="center" vertical="center" wrapText="1"/>
    </xf>
    <xf numFmtId="0" fontId="0" fillId="0" borderId="22" xfId="0" applyBorder="1" applyAlignment="1">
      <alignment vertical="top" wrapText="1"/>
    </xf>
    <xf numFmtId="0" fontId="0" fillId="0" borderId="24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28" fillId="0" borderId="0" xfId="0" applyFont="1" applyAlignment="1">
      <alignment horizontal="center" vertical="center"/>
    </xf>
    <xf numFmtId="0" fontId="0" fillId="7" borderId="19" xfId="0" applyFill="1" applyBorder="1"/>
    <xf numFmtId="0" fontId="0" fillId="7" borderId="20" xfId="0" applyFill="1" applyBorder="1"/>
    <xf numFmtId="0" fontId="5" fillId="3" borderId="23" xfId="0" applyFont="1" applyFill="1" applyBorder="1" applyAlignment="1">
      <alignment horizontal="center" vertical="center" wrapText="1"/>
    </xf>
    <xf numFmtId="0" fontId="29" fillId="0" borderId="23" xfId="0" applyFont="1" applyBorder="1"/>
    <xf numFmtId="0" fontId="29" fillId="0" borderId="7" xfId="0" applyFont="1" applyBorder="1"/>
    <xf numFmtId="0" fontId="0" fillId="8" borderId="0" xfId="0" applyFill="1"/>
    <xf numFmtId="0" fontId="29" fillId="8" borderId="0" xfId="0" applyFont="1" applyFill="1"/>
    <xf numFmtId="9" fontId="5" fillId="3" borderId="0" xfId="0" applyNumberFormat="1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9" fontId="5" fillId="3" borderId="23" xfId="0" applyNumberFormat="1" applyFont="1" applyFill="1" applyBorder="1" applyAlignment="1">
      <alignment horizontal="center" vertical="center" wrapText="1"/>
    </xf>
    <xf numFmtId="9" fontId="5" fillId="3" borderId="2" xfId="0" applyNumberFormat="1" applyFont="1" applyFill="1" applyBorder="1" applyAlignment="1">
      <alignment horizontal="center" vertical="center" wrapText="1"/>
    </xf>
    <xf numFmtId="9" fontId="5" fillId="10" borderId="2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13" fillId="0" borderId="0" xfId="0" applyFont="1" applyAlignment="1">
      <alignment horizontal="center" vertical="center" wrapText="1"/>
    </xf>
    <xf numFmtId="4" fontId="26" fillId="0" borderId="0" xfId="0" applyNumberFormat="1" applyFont="1" applyAlignment="1">
      <alignment horizontal="center" vertical="center" wrapText="1"/>
    </xf>
    <xf numFmtId="0" fontId="29" fillId="9" borderId="25" xfId="0" applyFont="1" applyFill="1" applyBorder="1" applyAlignment="1">
      <alignment horizontal="center" vertical="center"/>
    </xf>
    <xf numFmtId="0" fontId="29" fillId="9" borderId="32" xfId="0" applyFont="1" applyFill="1" applyBorder="1" applyAlignment="1">
      <alignment horizontal="center" vertical="center"/>
    </xf>
    <xf numFmtId="4" fontId="29" fillId="9" borderId="27" xfId="0" applyNumberFormat="1" applyFont="1" applyFill="1" applyBorder="1"/>
    <xf numFmtId="4" fontId="29" fillId="9" borderId="26" xfId="0" applyNumberFormat="1" applyFont="1" applyFill="1" applyBorder="1"/>
    <xf numFmtId="0" fontId="5" fillId="0" borderId="0" xfId="0" applyFont="1" applyAlignment="1">
      <alignment vertical="center" wrapText="1"/>
    </xf>
    <xf numFmtId="0" fontId="0" fillId="7" borderId="5" xfId="0" applyFill="1" applyBorder="1"/>
    <xf numFmtId="0" fontId="0" fillId="7" borderId="6" xfId="0" applyFill="1" applyBorder="1"/>
    <xf numFmtId="0" fontId="0" fillId="7" borderId="7" xfId="0" applyFill="1" applyBorder="1"/>
    <xf numFmtId="8" fontId="32" fillId="0" borderId="38" xfId="0" applyNumberFormat="1" applyFont="1" applyBorder="1" applyAlignment="1">
      <alignment horizontal="center" vertical="center"/>
    </xf>
    <xf numFmtId="0" fontId="0" fillId="0" borderId="38" xfId="0" applyBorder="1"/>
    <xf numFmtId="0" fontId="31" fillId="0" borderId="0" xfId="0" applyFont="1" applyAlignment="1">
      <alignment horizontal="center" vertical="center"/>
    </xf>
    <xf numFmtId="8" fontId="32" fillId="0" borderId="39" xfId="0" applyNumberFormat="1" applyFont="1" applyBorder="1" applyAlignment="1">
      <alignment horizontal="center" vertical="center"/>
    </xf>
    <xf numFmtId="8" fontId="33" fillId="0" borderId="0" xfId="0" applyNumberFormat="1" applyFont="1" applyAlignment="1">
      <alignment horizontal="center" vertical="center"/>
    </xf>
    <xf numFmtId="9" fontId="33" fillId="0" borderId="0" xfId="0" applyNumberFormat="1" applyFont="1" applyAlignment="1">
      <alignment horizontal="center" vertical="center"/>
    </xf>
    <xf numFmtId="0" fontId="0" fillId="0" borderId="39" xfId="0" applyBorder="1"/>
    <xf numFmtId="0" fontId="0" fillId="0" borderId="22" xfId="0" applyBorder="1"/>
    <xf numFmtId="0" fontId="31" fillId="0" borderId="1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0" fillId="0" borderId="22" xfId="0" applyFont="1" applyBorder="1" applyAlignment="1">
      <alignment horizontal="center"/>
    </xf>
    <xf numFmtId="0" fontId="0" fillId="0" borderId="2" xfId="0" applyBorder="1"/>
    <xf numFmtId="8" fontId="32" fillId="0" borderId="0" xfId="0" applyNumberFormat="1" applyFont="1" applyAlignment="1">
      <alignment horizontal="center" vertical="center"/>
    </xf>
    <xf numFmtId="0" fontId="29" fillId="9" borderId="19" xfId="0" applyFont="1" applyFill="1" applyBorder="1" applyAlignment="1">
      <alignment horizontal="center" vertical="center"/>
    </xf>
    <xf numFmtId="0" fontId="29" fillId="6" borderId="23" xfId="0" applyFont="1" applyFill="1" applyBorder="1" applyAlignment="1">
      <alignment horizontal="center" vertical="center"/>
    </xf>
    <xf numFmtId="0" fontId="29" fillId="6" borderId="20" xfId="0" applyFont="1" applyFill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/>
    </xf>
    <xf numFmtId="0" fontId="0" fillId="0" borderId="1" xfId="0" applyBorder="1"/>
    <xf numFmtId="0" fontId="0" fillId="0" borderId="49" xfId="0" applyBorder="1"/>
    <xf numFmtId="0" fontId="0" fillId="0" borderId="8" xfId="0" applyBorder="1"/>
    <xf numFmtId="0" fontId="29" fillId="6" borderId="2" xfId="0" applyFont="1" applyFill="1" applyBorder="1" applyAlignment="1">
      <alignment horizontal="center" vertical="center"/>
    </xf>
    <xf numFmtId="0" fontId="29" fillId="9" borderId="0" xfId="0" applyFont="1" applyFill="1" applyAlignment="1">
      <alignment horizontal="center" vertical="center"/>
    </xf>
    <xf numFmtId="0" fontId="29" fillId="6" borderId="22" xfId="0" applyFont="1" applyFill="1" applyBorder="1" applyAlignment="1">
      <alignment horizontal="center" vertical="center"/>
    </xf>
    <xf numFmtId="0" fontId="35" fillId="6" borderId="22" xfId="0" applyFont="1" applyFill="1" applyBorder="1" applyAlignment="1">
      <alignment horizontal="center" vertical="center"/>
    </xf>
    <xf numFmtId="0" fontId="35" fillId="6" borderId="24" xfId="0" applyFont="1" applyFill="1" applyBorder="1" applyAlignment="1">
      <alignment horizontal="center" vertical="center"/>
    </xf>
    <xf numFmtId="0" fontId="34" fillId="9" borderId="6" xfId="0" applyFont="1" applyFill="1" applyBorder="1"/>
    <xf numFmtId="0" fontId="34" fillId="9" borderId="7" xfId="0" applyFont="1" applyFill="1" applyBorder="1"/>
    <xf numFmtId="0" fontId="0" fillId="6" borderId="0" xfId="0" applyFill="1"/>
    <xf numFmtId="8" fontId="33" fillId="6" borderId="0" xfId="0" applyNumberFormat="1" applyFont="1" applyFill="1" applyAlignment="1">
      <alignment horizontal="center" vertical="center"/>
    </xf>
    <xf numFmtId="9" fontId="33" fillId="6" borderId="0" xfId="0" applyNumberFormat="1" applyFont="1" applyFill="1" applyAlignment="1">
      <alignment horizontal="center" vertical="center"/>
    </xf>
    <xf numFmtId="0" fontId="31" fillId="0" borderId="22" xfId="0" applyFont="1" applyBorder="1" applyAlignment="1">
      <alignment horizontal="center"/>
    </xf>
    <xf numFmtId="0" fontId="35" fillId="6" borderId="0" xfId="0" applyFont="1" applyFill="1" applyAlignment="1">
      <alignment horizontal="center" vertical="center"/>
    </xf>
    <xf numFmtId="0" fontId="34" fillId="6" borderId="0" xfId="0" applyFont="1" applyFill="1"/>
    <xf numFmtId="4" fontId="39" fillId="6" borderId="0" xfId="0" applyNumberFormat="1" applyFont="1" applyFill="1" applyAlignment="1">
      <alignment horizontal="right" vertical="center" wrapText="1"/>
    </xf>
    <xf numFmtId="0" fontId="0" fillId="0" borderId="6" xfId="0" applyBorder="1"/>
    <xf numFmtId="0" fontId="0" fillId="0" borderId="7" xfId="0" applyBorder="1"/>
    <xf numFmtId="0" fontId="0" fillId="9" borderId="9" xfId="0" applyFill="1" applyBorder="1"/>
    <xf numFmtId="0" fontId="0" fillId="9" borderId="3" xfId="0" applyFill="1" applyBorder="1"/>
    <xf numFmtId="0" fontId="29" fillId="9" borderId="52" xfId="0" applyFont="1" applyFill="1" applyBorder="1" applyAlignment="1">
      <alignment horizontal="center" vertical="center"/>
    </xf>
    <xf numFmtId="0" fontId="29" fillId="6" borderId="0" xfId="0" applyFont="1" applyFill="1" applyAlignment="1">
      <alignment horizontal="center" vertical="center"/>
    </xf>
    <xf numFmtId="0" fontId="29" fillId="9" borderId="1" xfId="0" applyFont="1" applyFill="1" applyBorder="1" applyAlignment="1">
      <alignment horizontal="center" vertical="center"/>
    </xf>
    <xf numFmtId="40" fontId="30" fillId="9" borderId="56" xfId="0" applyNumberFormat="1" applyFont="1" applyFill="1" applyBorder="1" applyAlignment="1">
      <alignment horizontal="center" vertical="center"/>
    </xf>
    <xf numFmtId="40" fontId="30" fillId="9" borderId="57" xfId="0" applyNumberFormat="1" applyFont="1" applyFill="1" applyBorder="1" applyAlignment="1">
      <alignment horizontal="center" vertical="center"/>
    </xf>
    <xf numFmtId="40" fontId="30" fillId="9" borderId="34" xfId="0" applyNumberFormat="1" applyFont="1" applyFill="1" applyBorder="1" applyAlignment="1">
      <alignment horizontal="center" vertical="center"/>
    </xf>
    <xf numFmtId="40" fontId="30" fillId="9" borderId="37" xfId="0" applyNumberFormat="1" applyFont="1" applyFill="1" applyBorder="1" applyAlignment="1">
      <alignment horizontal="center" vertical="center"/>
    </xf>
    <xf numFmtId="4" fontId="30" fillId="9" borderId="4" xfId="0" applyNumberFormat="1" applyFont="1" applyFill="1" applyBorder="1" applyAlignment="1">
      <alignment horizontal="center" vertical="center"/>
    </xf>
    <xf numFmtId="4" fontId="30" fillId="9" borderId="46" xfId="0" applyNumberFormat="1" applyFont="1" applyFill="1" applyBorder="1" applyAlignment="1">
      <alignment horizontal="center" vertical="center"/>
    </xf>
    <xf numFmtId="4" fontId="30" fillId="6" borderId="48" xfId="0" applyNumberFormat="1" applyFont="1" applyFill="1" applyBorder="1" applyAlignment="1">
      <alignment horizontal="center" vertical="center"/>
    </xf>
    <xf numFmtId="4" fontId="30" fillId="6" borderId="4" xfId="0" applyNumberFormat="1" applyFont="1" applyFill="1" applyBorder="1" applyAlignment="1">
      <alignment horizontal="center" vertical="center"/>
    </xf>
    <xf numFmtId="4" fontId="30" fillId="9" borderId="48" xfId="0" applyNumberFormat="1" applyFont="1" applyFill="1" applyBorder="1" applyAlignment="1">
      <alignment horizontal="center" vertical="center"/>
    </xf>
    <xf numFmtId="4" fontId="30" fillId="9" borderId="36" xfId="0" applyNumberFormat="1" applyFont="1" applyFill="1" applyBorder="1" applyAlignment="1">
      <alignment horizontal="center" vertical="center"/>
    </xf>
    <xf numFmtId="4" fontId="30" fillId="9" borderId="34" xfId="0" applyNumberFormat="1" applyFont="1" applyFill="1" applyBorder="1" applyAlignment="1">
      <alignment horizontal="center" vertical="center"/>
    </xf>
    <xf numFmtId="4" fontId="30" fillId="9" borderId="45" xfId="0" applyNumberFormat="1" applyFont="1" applyFill="1" applyBorder="1" applyAlignment="1">
      <alignment horizontal="center" vertical="center"/>
    </xf>
    <xf numFmtId="40" fontId="30" fillId="9" borderId="41" xfId="0" applyNumberFormat="1" applyFont="1" applyFill="1" applyBorder="1" applyAlignment="1">
      <alignment horizontal="center" vertical="center"/>
    </xf>
    <xf numFmtId="40" fontId="30" fillId="0" borderId="41" xfId="0" applyNumberFormat="1" applyFont="1" applyBorder="1" applyAlignment="1">
      <alignment horizontal="center" vertical="center"/>
    </xf>
    <xf numFmtId="40" fontId="30" fillId="0" borderId="34" xfId="0" applyNumberFormat="1" applyFont="1" applyBorder="1" applyAlignment="1">
      <alignment horizontal="center" vertical="center"/>
    </xf>
    <xf numFmtId="40" fontId="30" fillId="0" borderId="45" xfId="0" applyNumberFormat="1" applyFont="1" applyBorder="1" applyAlignment="1">
      <alignment horizontal="center" vertical="center"/>
    </xf>
    <xf numFmtId="40" fontId="30" fillId="0" borderId="32" xfId="0" applyNumberFormat="1" applyFont="1" applyBorder="1" applyAlignment="1">
      <alignment horizontal="center" vertical="center"/>
    </xf>
    <xf numFmtId="40" fontId="30" fillId="0" borderId="37" xfId="0" applyNumberFormat="1" applyFont="1" applyBorder="1" applyAlignment="1">
      <alignment horizontal="center" vertical="center"/>
    </xf>
    <xf numFmtId="4" fontId="30" fillId="6" borderId="41" xfId="0" applyNumberFormat="1" applyFont="1" applyFill="1" applyBorder="1" applyAlignment="1">
      <alignment horizontal="center" vertical="center"/>
    </xf>
    <xf numFmtId="4" fontId="30" fillId="6" borderId="34" xfId="0" applyNumberFormat="1" applyFont="1" applyFill="1" applyBorder="1" applyAlignment="1">
      <alignment horizontal="center" vertical="center"/>
    </xf>
    <xf numFmtId="4" fontId="30" fillId="9" borderId="41" xfId="0" applyNumberFormat="1" applyFont="1" applyFill="1" applyBorder="1" applyAlignment="1">
      <alignment horizontal="center" vertical="center"/>
    </xf>
    <xf numFmtId="4" fontId="30" fillId="9" borderId="37" xfId="0" applyNumberFormat="1" applyFont="1" applyFill="1" applyBorder="1" applyAlignment="1">
      <alignment horizontal="center" vertical="center"/>
    </xf>
    <xf numFmtId="43" fontId="5" fillId="0" borderId="3" xfId="1" applyNumberFormat="1" applyFont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center" vertical="center" wrapText="1"/>
    </xf>
    <xf numFmtId="4" fontId="8" fillId="6" borderId="24" xfId="0" applyNumberFormat="1" applyFont="1" applyFill="1" applyBorder="1" applyAlignment="1">
      <alignment horizontal="center" vertical="center" wrapText="1"/>
    </xf>
    <xf numFmtId="4" fontId="5" fillId="6" borderId="4" xfId="0" applyNumberFormat="1" applyFont="1" applyFill="1" applyBorder="1" applyAlignment="1">
      <alignment horizontal="center" vertical="center" wrapText="1"/>
    </xf>
    <xf numFmtId="4" fontId="5" fillId="6" borderId="48" xfId="0" applyNumberFormat="1" applyFont="1" applyFill="1" applyBorder="1" applyAlignment="1">
      <alignment horizontal="center" vertical="center" wrapText="1"/>
    </xf>
    <xf numFmtId="4" fontId="5" fillId="6" borderId="41" xfId="0" applyNumberFormat="1" applyFont="1" applyFill="1" applyBorder="1" applyAlignment="1">
      <alignment horizontal="center" vertical="center" wrapText="1"/>
    </xf>
    <xf numFmtId="4" fontId="5" fillId="6" borderId="34" xfId="0" applyNumberFormat="1" applyFont="1" applyFill="1" applyBorder="1" applyAlignment="1">
      <alignment horizontal="center" vertical="center" wrapText="1"/>
    </xf>
    <xf numFmtId="4" fontId="5" fillId="6" borderId="36" xfId="0" applyNumberFormat="1" applyFont="1" applyFill="1" applyBorder="1" applyAlignment="1">
      <alignment horizontal="center" vertical="center" wrapText="1"/>
    </xf>
    <xf numFmtId="4" fontId="5" fillId="6" borderId="37" xfId="0" applyNumberFormat="1" applyFont="1" applyFill="1" applyBorder="1" applyAlignment="1">
      <alignment horizontal="center" vertical="center" wrapText="1"/>
    </xf>
    <xf numFmtId="44" fontId="5" fillId="3" borderId="3" xfId="0" applyNumberFormat="1" applyFont="1" applyFill="1" applyBorder="1" applyAlignment="1">
      <alignment horizontal="center" vertical="center" wrapText="1"/>
    </xf>
    <xf numFmtId="0" fontId="5" fillId="3" borderId="58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right" vertical="center" wrapText="1"/>
    </xf>
    <xf numFmtId="4" fontId="5" fillId="6" borderId="4" xfId="0" applyNumberFormat="1" applyFont="1" applyFill="1" applyBorder="1" applyAlignment="1">
      <alignment horizontal="right" vertical="center" wrapText="1"/>
    </xf>
    <xf numFmtId="0" fontId="5" fillId="3" borderId="59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4" fontId="5" fillId="0" borderId="36" xfId="0" applyNumberFormat="1" applyFont="1" applyBorder="1" applyAlignment="1">
      <alignment horizontal="right" vertical="center" wrapText="1"/>
    </xf>
    <xf numFmtId="4" fontId="5" fillId="6" borderId="36" xfId="0" applyNumberFormat="1" applyFont="1" applyFill="1" applyBorder="1" applyAlignment="1">
      <alignment horizontal="right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44" fontId="5" fillId="6" borderId="41" xfId="1" applyFont="1" applyFill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44" fontId="5" fillId="0" borderId="34" xfId="1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44" fontId="5" fillId="0" borderId="37" xfId="1" applyFont="1" applyBorder="1" applyAlignment="1">
      <alignment horizontal="center" vertical="center" wrapText="1"/>
    </xf>
    <xf numFmtId="0" fontId="12" fillId="0" borderId="47" xfId="0" applyFont="1" applyBorder="1" applyAlignment="1">
      <alignment horizontal="center" vertical="center" wrapText="1"/>
    </xf>
    <xf numFmtId="0" fontId="12" fillId="0" borderId="48" xfId="0" applyFont="1" applyBorder="1" applyAlignment="1">
      <alignment horizontal="center" vertical="center" wrapText="1"/>
    </xf>
    <xf numFmtId="4" fontId="5" fillId="0" borderId="48" xfId="0" applyNumberFormat="1" applyFont="1" applyBorder="1" applyAlignment="1">
      <alignment horizontal="right" vertical="center" wrapText="1"/>
    </xf>
    <xf numFmtId="4" fontId="5" fillId="6" borderId="48" xfId="0" applyNumberFormat="1" applyFont="1" applyFill="1" applyBorder="1" applyAlignment="1">
      <alignment horizontal="right" vertical="center" wrapText="1"/>
    </xf>
    <xf numFmtId="4" fontId="5" fillId="0" borderId="41" xfId="0" applyNumberFormat="1" applyFont="1" applyBorder="1" applyAlignment="1">
      <alignment horizontal="right" vertical="center" wrapText="1"/>
    </xf>
    <xf numFmtId="4" fontId="5" fillId="0" borderId="34" xfId="0" applyNumberFormat="1" applyFont="1" applyBorder="1" applyAlignment="1">
      <alignment horizontal="right" vertical="center" wrapText="1"/>
    </xf>
    <xf numFmtId="4" fontId="5" fillId="0" borderId="37" xfId="0" applyNumberFormat="1" applyFont="1" applyBorder="1" applyAlignment="1">
      <alignment horizontal="right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" fontId="5" fillId="0" borderId="41" xfId="0" applyNumberFormat="1" applyFont="1" applyBorder="1" applyAlignment="1">
      <alignment horizontal="center" vertical="center" wrapText="1"/>
    </xf>
    <xf numFmtId="4" fontId="5" fillId="0" borderId="34" xfId="0" applyNumberFormat="1" applyFont="1" applyBorder="1" applyAlignment="1">
      <alignment horizontal="center" vertical="center" wrapText="1"/>
    </xf>
    <xf numFmtId="4" fontId="5" fillId="0" borderId="37" xfId="0" applyNumberFormat="1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 wrapText="1"/>
    </xf>
    <xf numFmtId="0" fontId="5" fillId="0" borderId="47" xfId="0" applyFont="1" applyBorder="1" applyAlignment="1">
      <alignment vertical="center" wrapText="1"/>
    </xf>
    <xf numFmtId="0" fontId="5" fillId="0" borderId="33" xfId="0" applyFont="1" applyBorder="1" applyAlignment="1">
      <alignment vertical="center" wrapText="1"/>
    </xf>
    <xf numFmtId="4" fontId="4" fillId="0" borderId="7" xfId="0" applyNumberFormat="1" applyFont="1" applyBorder="1" applyAlignment="1">
      <alignment horizontal="center" vertical="center" wrapText="1"/>
    </xf>
    <xf numFmtId="9" fontId="30" fillId="0" borderId="53" xfId="0" applyNumberFormat="1" applyFont="1" applyBorder="1" applyAlignment="1">
      <alignment horizontal="center" vertical="center"/>
    </xf>
    <xf numFmtId="40" fontId="30" fillId="0" borderId="54" xfId="0" applyNumberFormat="1" applyFont="1" applyBorder="1" applyAlignment="1">
      <alignment horizontal="center" vertical="center"/>
    </xf>
    <xf numFmtId="40" fontId="30" fillId="0" borderId="55" xfId="0" applyNumberFormat="1" applyFont="1" applyBorder="1" applyAlignment="1">
      <alignment horizontal="center" vertical="center"/>
    </xf>
    <xf numFmtId="4" fontId="30" fillId="0" borderId="4" xfId="0" applyNumberFormat="1" applyFont="1" applyBorder="1" applyAlignment="1">
      <alignment horizontal="center" vertical="center"/>
    </xf>
    <xf numFmtId="4" fontId="30" fillId="0" borderId="36" xfId="0" applyNumberFormat="1" applyFont="1" applyBorder="1" applyAlignment="1">
      <alignment horizontal="center" vertical="center"/>
    </xf>
    <xf numFmtId="0" fontId="21" fillId="0" borderId="4" xfId="0" applyFont="1" applyBorder="1" applyAlignment="1">
      <alignment vertical="center" wrapText="1"/>
    </xf>
    <xf numFmtId="0" fontId="21" fillId="0" borderId="47" xfId="0" applyFont="1" applyBorder="1" applyAlignment="1">
      <alignment vertical="center" wrapText="1"/>
    </xf>
    <xf numFmtId="0" fontId="21" fillId="0" borderId="48" xfId="0" applyFont="1" applyBorder="1" applyAlignment="1">
      <alignment vertical="center" wrapText="1"/>
    </xf>
    <xf numFmtId="4" fontId="41" fillId="0" borderId="41" xfId="0" applyNumberFormat="1" applyFont="1" applyBorder="1" applyAlignment="1">
      <alignment horizontal="right" vertical="center" wrapText="1"/>
    </xf>
    <xf numFmtId="0" fontId="21" fillId="0" borderId="33" xfId="0" applyFont="1" applyBorder="1" applyAlignment="1">
      <alignment vertical="center" wrapText="1"/>
    </xf>
    <xf numFmtId="4" fontId="41" fillId="0" borderId="34" xfId="0" applyNumberFormat="1" applyFont="1" applyBorder="1" applyAlignment="1">
      <alignment horizontal="right" vertical="center" wrapText="1"/>
    </xf>
    <xf numFmtId="0" fontId="21" fillId="0" borderId="35" xfId="0" applyFont="1" applyBorder="1" applyAlignment="1">
      <alignment vertical="center" wrapText="1"/>
    </xf>
    <xf numFmtId="0" fontId="21" fillId="0" borderId="36" xfId="0" applyFont="1" applyBorder="1" applyAlignment="1">
      <alignment vertical="center" wrapText="1"/>
    </xf>
    <xf numFmtId="4" fontId="41" fillId="0" borderId="37" xfId="0" applyNumberFormat="1" applyFont="1" applyBorder="1" applyAlignment="1">
      <alignment horizontal="right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4" fontId="8" fillId="0" borderId="41" xfId="0" applyNumberFormat="1" applyFont="1" applyBorder="1" applyAlignment="1">
      <alignment horizontal="center" vertical="center" wrapText="1"/>
    </xf>
    <xf numFmtId="4" fontId="8" fillId="0" borderId="37" xfId="0" applyNumberFormat="1" applyFont="1" applyBorder="1" applyAlignment="1">
      <alignment horizontal="center" vertical="center" wrapText="1"/>
    </xf>
    <xf numFmtId="0" fontId="5" fillId="6" borderId="0" xfId="0" applyFont="1" applyFill="1" applyAlignment="1">
      <alignment horizontal="center" vertical="center" wrapText="1"/>
    </xf>
    <xf numFmtId="4" fontId="6" fillId="6" borderId="0" xfId="0" applyNumberFormat="1" applyFont="1" applyFill="1" applyAlignment="1">
      <alignment horizontal="center" vertical="center" wrapText="1"/>
    </xf>
    <xf numFmtId="0" fontId="5" fillId="6" borderId="0" xfId="0" applyFont="1" applyFill="1" applyAlignment="1">
      <alignment vertical="center" wrapText="1"/>
    </xf>
    <xf numFmtId="4" fontId="5" fillId="0" borderId="0" xfId="0" applyNumberFormat="1" applyFont="1" applyAlignment="1">
      <alignment horizontal="center" vertical="center" wrapText="1"/>
    </xf>
    <xf numFmtId="0" fontId="0" fillId="0" borderId="61" xfId="0" applyBorder="1"/>
    <xf numFmtId="0" fontId="0" fillId="9" borderId="18" xfId="0" applyFill="1" applyBorder="1"/>
    <xf numFmtId="0" fontId="0" fillId="9" borderId="19" xfId="0" applyFill="1" applyBorder="1"/>
    <xf numFmtId="0" fontId="3" fillId="9" borderId="19" xfId="0" applyFont="1" applyFill="1" applyBorder="1"/>
    <xf numFmtId="0" fontId="0" fillId="9" borderId="20" xfId="0" applyFill="1" applyBorder="1"/>
    <xf numFmtId="0" fontId="0" fillId="9" borderId="21" xfId="0" applyFill="1" applyBorder="1"/>
    <xf numFmtId="0" fontId="38" fillId="9" borderId="9" xfId="0" applyFont="1" applyFill="1" applyBorder="1"/>
    <xf numFmtId="0" fontId="30" fillId="9" borderId="9" xfId="0" applyFont="1" applyFill="1" applyBorder="1"/>
    <xf numFmtId="0" fontId="14" fillId="3" borderId="5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4" fontId="29" fillId="0" borderId="0" xfId="0" applyNumberFormat="1" applyFont="1"/>
    <xf numFmtId="0" fontId="29" fillId="0" borderId="0" xfId="0" applyFont="1"/>
    <xf numFmtId="0" fontId="45" fillId="9" borderId="0" xfId="0" applyFont="1" applyFill="1" applyAlignment="1">
      <alignment horizontal="left" vertical="center" indent="5"/>
    </xf>
    <xf numFmtId="0" fontId="18" fillId="9" borderId="0" xfId="0" applyFont="1" applyFill="1" applyAlignment="1">
      <alignment horizontal="left" vertical="center" indent="5"/>
    </xf>
    <xf numFmtId="43" fontId="29" fillId="9" borderId="0" xfId="0" applyNumberFormat="1" applyFont="1" applyFill="1"/>
    <xf numFmtId="0" fontId="34" fillId="0" borderId="0" xfId="0" applyFont="1"/>
    <xf numFmtId="4" fontId="8" fillId="0" borderId="34" xfId="0" applyNumberFormat="1" applyFont="1" applyBorder="1" applyAlignment="1">
      <alignment horizontal="center" vertical="center" wrapText="1"/>
    </xf>
    <xf numFmtId="4" fontId="41" fillId="0" borderId="3" xfId="0" applyNumberFormat="1" applyFont="1" applyBorder="1" applyAlignment="1">
      <alignment horizontal="center" vertical="center" wrapText="1"/>
    </xf>
    <xf numFmtId="2" fontId="8" fillId="3" borderId="3" xfId="0" applyNumberFormat="1" applyFont="1" applyFill="1" applyBorder="1" applyAlignment="1">
      <alignment horizontal="center" vertical="center" wrapText="1"/>
    </xf>
    <xf numFmtId="4" fontId="46" fillId="0" borderId="3" xfId="0" applyNumberFormat="1" applyFont="1" applyBorder="1" applyAlignment="1">
      <alignment horizontal="center" vertical="center" wrapText="1"/>
    </xf>
    <xf numFmtId="4" fontId="8" fillId="0" borderId="9" xfId="0" applyNumberFormat="1" applyFont="1" applyBorder="1" applyAlignment="1">
      <alignment horizontal="center" vertical="center" wrapText="1"/>
    </xf>
    <xf numFmtId="4" fontId="47" fillId="6" borderId="7" xfId="0" applyNumberFormat="1" applyFont="1" applyFill="1" applyBorder="1" applyAlignment="1">
      <alignment horizontal="center" vertical="center" wrapText="1"/>
    </xf>
    <xf numFmtId="4" fontId="37" fillId="6" borderId="0" xfId="0" applyNumberFormat="1" applyFont="1" applyFill="1"/>
    <xf numFmtId="0" fontId="41" fillId="6" borderId="2" xfId="0" applyFont="1" applyFill="1" applyBorder="1" applyAlignment="1">
      <alignment horizontal="center" vertical="center" wrapText="1"/>
    </xf>
    <xf numFmtId="0" fontId="41" fillId="6" borderId="3" xfId="0" applyFont="1" applyFill="1" applyBorder="1" applyAlignment="1">
      <alignment horizontal="center" vertical="center" wrapText="1"/>
    </xf>
    <xf numFmtId="4" fontId="41" fillId="6" borderId="3" xfId="0" applyNumberFormat="1" applyFont="1" applyFill="1" applyBorder="1" applyAlignment="1">
      <alignment horizontal="center" vertical="center" wrapText="1"/>
    </xf>
    <xf numFmtId="9" fontId="41" fillId="6" borderId="3" xfId="0" applyNumberFormat="1" applyFont="1" applyFill="1" applyBorder="1" applyAlignment="1">
      <alignment horizontal="center" vertical="center" wrapText="1"/>
    </xf>
    <xf numFmtId="2" fontId="41" fillId="6" borderId="3" xfId="0" applyNumberFormat="1" applyFont="1" applyFill="1" applyBorder="1" applyAlignment="1">
      <alignment horizontal="center" vertical="center" wrapText="1"/>
    </xf>
    <xf numFmtId="4" fontId="8" fillId="6" borderId="4" xfId="0" applyNumberFormat="1" applyFont="1" applyFill="1" applyBorder="1" applyAlignment="1">
      <alignment horizontal="right" vertical="center" wrapText="1"/>
    </xf>
    <xf numFmtId="0" fontId="41" fillId="0" borderId="3" xfId="0" applyFont="1" applyBorder="1" applyAlignment="1">
      <alignment horizontal="center" vertical="center" wrapText="1"/>
    </xf>
    <xf numFmtId="9" fontId="41" fillId="0" borderId="3" xfId="0" applyNumberFormat="1" applyFont="1" applyBorder="1" applyAlignment="1">
      <alignment horizontal="center" vertical="center" wrapText="1"/>
    </xf>
    <xf numFmtId="2" fontId="41" fillId="0" borderId="3" xfId="0" applyNumberFormat="1" applyFont="1" applyBorder="1" applyAlignment="1">
      <alignment horizontal="center" vertical="center" wrapText="1"/>
    </xf>
    <xf numFmtId="0" fontId="41" fillId="0" borderId="3" xfId="0" applyFont="1" applyBorder="1" applyAlignment="1">
      <alignment vertical="center" wrapText="1"/>
    </xf>
    <xf numFmtId="0" fontId="37" fillId="9" borderId="50" xfId="0" applyFont="1" applyFill="1" applyBorder="1" applyAlignment="1">
      <alignment horizontal="center" vertical="center"/>
    </xf>
    <xf numFmtId="0" fontId="37" fillId="9" borderId="51" xfId="0" applyFont="1" applyFill="1" applyBorder="1" applyAlignment="1">
      <alignment horizontal="center" vertical="center"/>
    </xf>
    <xf numFmtId="0" fontId="48" fillId="0" borderId="47" xfId="0" applyFont="1" applyBorder="1" applyAlignment="1">
      <alignment horizontal="center" vertical="center"/>
    </xf>
    <xf numFmtId="8" fontId="49" fillId="0" borderId="48" xfId="0" applyNumberFormat="1" applyFont="1" applyBorder="1" applyAlignment="1">
      <alignment horizontal="center" vertical="center"/>
    </xf>
    <xf numFmtId="9" fontId="36" fillId="0" borderId="48" xfId="0" applyNumberFormat="1" applyFont="1" applyBorder="1" applyAlignment="1">
      <alignment horizontal="center" vertical="center"/>
    </xf>
    <xf numFmtId="40" fontId="36" fillId="0" borderId="48" xfId="0" applyNumberFormat="1" applyFont="1" applyBorder="1" applyAlignment="1">
      <alignment horizontal="center" vertical="center"/>
    </xf>
    <xf numFmtId="0" fontId="48" fillId="0" borderId="33" xfId="0" applyFont="1" applyBorder="1" applyAlignment="1">
      <alignment horizontal="center" vertical="center"/>
    </xf>
    <xf numFmtId="8" fontId="49" fillId="0" borderId="4" xfId="0" applyNumberFormat="1" applyFont="1" applyBorder="1" applyAlignment="1">
      <alignment horizontal="center" vertical="center"/>
    </xf>
    <xf numFmtId="9" fontId="36" fillId="0" borderId="25" xfId="0" applyNumberFormat="1" applyFont="1" applyBorder="1" applyAlignment="1">
      <alignment horizontal="center" vertical="center"/>
    </xf>
    <xf numFmtId="40" fontId="36" fillId="0" borderId="4" xfId="0" applyNumberFormat="1" applyFont="1" applyBorder="1" applyAlignment="1">
      <alignment horizontal="center" vertical="center"/>
    </xf>
    <xf numFmtId="9" fontId="36" fillId="6" borderId="4" xfId="0" applyNumberFormat="1" applyFont="1" applyFill="1" applyBorder="1" applyAlignment="1">
      <alignment horizontal="center" vertical="center"/>
    </xf>
    <xf numFmtId="9" fontId="36" fillId="0" borderId="4" xfId="0" applyNumberFormat="1" applyFont="1" applyBorder="1" applyAlignment="1">
      <alignment horizontal="center" vertical="center"/>
    </xf>
    <xf numFmtId="0" fontId="48" fillId="0" borderId="35" xfId="0" applyFont="1" applyBorder="1" applyAlignment="1">
      <alignment horizontal="center" vertical="center"/>
    </xf>
    <xf numFmtId="8" fontId="49" fillId="0" borderId="36" xfId="0" applyNumberFormat="1" applyFont="1" applyBorder="1" applyAlignment="1">
      <alignment horizontal="center" vertical="center"/>
    </xf>
    <xf numFmtId="9" fontId="36" fillId="0" borderId="51" xfId="0" applyNumberFormat="1" applyFont="1" applyBorder="1" applyAlignment="1">
      <alignment horizontal="center" vertical="center"/>
    </xf>
    <xf numFmtId="40" fontId="36" fillId="0" borderId="36" xfId="0" applyNumberFormat="1" applyFont="1" applyBorder="1" applyAlignment="1">
      <alignment horizontal="center" vertical="center"/>
    </xf>
    <xf numFmtId="9" fontId="36" fillId="0" borderId="36" xfId="0" applyNumberFormat="1" applyFont="1" applyBorder="1" applyAlignment="1">
      <alignment horizontal="center" vertical="center"/>
    </xf>
    <xf numFmtId="0" fontId="50" fillId="0" borderId="0" xfId="0" applyFont="1"/>
    <xf numFmtId="0" fontId="37" fillId="9" borderId="31" xfId="0" applyFont="1" applyFill="1" applyBorder="1" applyAlignment="1">
      <alignment horizontal="center" vertical="center"/>
    </xf>
    <xf numFmtId="0" fontId="37" fillId="9" borderId="25" xfId="0" applyFont="1" applyFill="1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8" fontId="49" fillId="0" borderId="0" xfId="0" applyNumberFormat="1" applyFont="1" applyAlignment="1">
      <alignment horizontal="center" vertical="center"/>
    </xf>
    <xf numFmtId="8" fontId="36" fillId="0" borderId="0" xfId="0" applyNumberFormat="1" applyFont="1" applyAlignment="1">
      <alignment horizontal="center" vertical="center"/>
    </xf>
    <xf numFmtId="9" fontId="36" fillId="0" borderId="0" xfId="0" applyNumberFormat="1" applyFont="1" applyAlignment="1">
      <alignment horizontal="center" vertical="center"/>
    </xf>
    <xf numFmtId="49" fontId="48" fillId="0" borderId="0" xfId="0" applyNumberFormat="1" applyFont="1"/>
    <xf numFmtId="0" fontId="48" fillId="0" borderId="0" xfId="0" applyFont="1"/>
    <xf numFmtId="9" fontId="48" fillId="0" borderId="0" xfId="0" applyNumberFormat="1" applyFont="1"/>
    <xf numFmtId="8" fontId="36" fillId="9" borderId="4" xfId="0" applyNumberFormat="1" applyFont="1" applyFill="1" applyBorder="1" applyAlignment="1">
      <alignment horizontal="center" vertical="center"/>
    </xf>
    <xf numFmtId="9" fontId="36" fillId="9" borderId="4" xfId="0" applyNumberFormat="1" applyFont="1" applyFill="1" applyBorder="1" applyAlignment="1">
      <alignment horizontal="center" vertical="center"/>
    </xf>
    <xf numFmtId="8" fontId="36" fillId="9" borderId="46" xfId="0" applyNumberFormat="1" applyFont="1" applyFill="1" applyBorder="1" applyAlignment="1">
      <alignment horizontal="center" vertical="center"/>
    </xf>
    <xf numFmtId="8" fontId="36" fillId="6" borderId="47" xfId="0" applyNumberFormat="1" applyFont="1" applyFill="1" applyBorder="1" applyAlignment="1">
      <alignment horizontal="center" vertical="center"/>
    </xf>
    <xf numFmtId="9" fontId="36" fillId="6" borderId="33" xfId="0" applyNumberFormat="1" applyFont="1" applyFill="1" applyBorder="1" applyAlignment="1">
      <alignment horizontal="center" vertical="center"/>
    </xf>
    <xf numFmtId="8" fontId="36" fillId="6" borderId="33" xfId="0" applyNumberFormat="1" applyFont="1" applyFill="1" applyBorder="1" applyAlignment="1">
      <alignment horizontal="center" vertical="center"/>
    </xf>
    <xf numFmtId="8" fontId="36" fillId="9" borderId="48" xfId="0" applyNumberFormat="1" applyFont="1" applyFill="1" applyBorder="1" applyAlignment="1">
      <alignment horizontal="center" vertical="center"/>
    </xf>
    <xf numFmtId="8" fontId="36" fillId="9" borderId="36" xfId="0" applyNumberFormat="1" applyFont="1" applyFill="1" applyBorder="1" applyAlignment="1">
      <alignment horizontal="center" vertical="center"/>
    </xf>
    <xf numFmtId="8" fontId="36" fillId="9" borderId="1" xfId="0" applyNumberFormat="1" applyFont="1" applyFill="1" applyBorder="1" applyAlignment="1">
      <alignment horizontal="center" vertical="center"/>
    </xf>
    <xf numFmtId="9" fontId="36" fillId="9" borderId="40" xfId="0" applyNumberFormat="1" applyFont="1" applyFill="1" applyBorder="1" applyAlignment="1">
      <alignment horizontal="center" vertical="center"/>
    </xf>
    <xf numFmtId="8" fontId="36" fillId="9" borderId="22" xfId="0" applyNumberFormat="1" applyFont="1" applyFill="1" applyBorder="1" applyAlignment="1">
      <alignment horizontal="center" vertical="center"/>
    </xf>
    <xf numFmtId="9" fontId="36" fillId="9" borderId="38" xfId="0" applyNumberFormat="1" applyFont="1" applyFill="1" applyBorder="1" applyAlignment="1">
      <alignment horizontal="center" vertical="center"/>
    </xf>
    <xf numFmtId="9" fontId="36" fillId="9" borderId="2" xfId="0" applyNumberFormat="1" applyFont="1" applyFill="1" applyBorder="1" applyAlignment="1">
      <alignment horizontal="center" vertical="center"/>
    </xf>
    <xf numFmtId="9" fontId="36" fillId="9" borderId="42" xfId="0" applyNumberFormat="1" applyFont="1" applyFill="1" applyBorder="1" applyAlignment="1">
      <alignment horizontal="center" vertical="center"/>
    </xf>
    <xf numFmtId="8" fontId="36" fillId="0" borderId="1" xfId="0" applyNumberFormat="1" applyFont="1" applyBorder="1" applyAlignment="1">
      <alignment horizontal="center" vertical="center"/>
    </xf>
    <xf numFmtId="9" fontId="36" fillId="0" borderId="40" xfId="0" applyNumberFormat="1" applyFont="1" applyBorder="1" applyAlignment="1">
      <alignment horizontal="center" vertical="center"/>
    </xf>
    <xf numFmtId="8" fontId="36" fillId="0" borderId="22" xfId="0" applyNumberFormat="1" applyFont="1" applyBorder="1" applyAlignment="1">
      <alignment horizontal="center" vertical="center"/>
    </xf>
    <xf numFmtId="9" fontId="36" fillId="6" borderId="38" xfId="0" applyNumberFormat="1" applyFont="1" applyFill="1" applyBorder="1" applyAlignment="1">
      <alignment horizontal="center" vertical="center"/>
    </xf>
    <xf numFmtId="9" fontId="36" fillId="0" borderId="22" xfId="0" applyNumberFormat="1" applyFont="1" applyBorder="1" applyAlignment="1">
      <alignment horizontal="center" vertical="center"/>
    </xf>
    <xf numFmtId="9" fontId="36" fillId="0" borderId="43" xfId="0" applyNumberFormat="1" applyFont="1" applyBorder="1" applyAlignment="1">
      <alignment horizontal="center" vertical="center"/>
    </xf>
    <xf numFmtId="0" fontId="50" fillId="0" borderId="22" xfId="0" applyFont="1" applyBorder="1"/>
    <xf numFmtId="9" fontId="36" fillId="0" borderId="44" xfId="0" applyNumberFormat="1" applyFont="1" applyBorder="1" applyAlignment="1">
      <alignment horizontal="center" vertical="center"/>
    </xf>
    <xf numFmtId="9" fontId="36" fillId="0" borderId="2" xfId="0" applyNumberFormat="1" applyFont="1" applyBorder="1" applyAlignment="1">
      <alignment horizontal="center" vertical="center"/>
    </xf>
    <xf numFmtId="9" fontId="36" fillId="0" borderId="42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6" borderId="0" xfId="0" applyFont="1" applyFill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4" fontId="5" fillId="3" borderId="1" xfId="1" applyFont="1" applyFill="1" applyBorder="1" applyAlignment="1">
      <alignment horizontal="center" vertical="center" wrapText="1"/>
    </xf>
    <xf numFmtId="44" fontId="5" fillId="3" borderId="2" xfId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6" borderId="18" xfId="0" applyFont="1" applyFill="1" applyBorder="1" applyAlignment="1">
      <alignment horizontal="center" vertical="center" wrapText="1"/>
    </xf>
    <xf numFmtId="0" fontId="5" fillId="6" borderId="19" xfId="0" applyFont="1" applyFill="1" applyBorder="1" applyAlignment="1">
      <alignment horizontal="center" vertical="center" wrapText="1"/>
    </xf>
    <xf numFmtId="0" fontId="5" fillId="6" borderId="20" xfId="0" applyFont="1" applyFill="1" applyBorder="1" applyAlignment="1">
      <alignment horizontal="center" vertical="center" wrapText="1"/>
    </xf>
    <xf numFmtId="0" fontId="40" fillId="6" borderId="47" xfId="0" applyFont="1" applyFill="1" applyBorder="1" applyAlignment="1">
      <alignment horizontal="center" vertical="center" wrapText="1"/>
    </xf>
    <xf numFmtId="0" fontId="40" fillId="6" borderId="48" xfId="0" applyFont="1" applyFill="1" applyBorder="1" applyAlignment="1">
      <alignment horizontal="center" vertical="center" wrapText="1"/>
    </xf>
    <xf numFmtId="0" fontId="40" fillId="6" borderId="33" xfId="0" applyFont="1" applyFill="1" applyBorder="1" applyAlignment="1">
      <alignment horizontal="center" vertical="center" wrapText="1"/>
    </xf>
    <xf numFmtId="0" fontId="40" fillId="6" borderId="4" xfId="0" applyFont="1" applyFill="1" applyBorder="1" applyAlignment="1">
      <alignment horizontal="center" vertical="center" wrapText="1"/>
    </xf>
    <xf numFmtId="0" fontId="40" fillId="6" borderId="35" xfId="0" applyFont="1" applyFill="1" applyBorder="1" applyAlignment="1">
      <alignment horizontal="center" vertical="center" wrapText="1"/>
    </xf>
    <xf numFmtId="0" fontId="40" fillId="6" borderId="36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36" fillId="9" borderId="21" xfId="0" applyFont="1" applyFill="1" applyBorder="1" applyAlignment="1">
      <alignment horizontal="center" vertical="center"/>
    </xf>
    <xf numFmtId="0" fontId="37" fillId="9" borderId="9" xfId="0" applyFont="1" applyFill="1" applyBorder="1" applyAlignment="1">
      <alignment horizontal="center" vertical="center"/>
    </xf>
    <xf numFmtId="0" fontId="36" fillId="0" borderId="5" xfId="0" applyFont="1" applyBorder="1" applyAlignment="1">
      <alignment horizontal="center" vertical="center" wrapText="1"/>
    </xf>
    <xf numFmtId="0" fontId="36" fillId="0" borderId="6" xfId="0" applyFont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left" vertical="center" wrapText="1"/>
    </xf>
    <xf numFmtId="0" fontId="5" fillId="3" borderId="60" xfId="0" applyFont="1" applyFill="1" applyBorder="1" applyAlignment="1">
      <alignment horizontal="left" vertical="center" wrapText="1"/>
    </xf>
    <xf numFmtId="0" fontId="13" fillId="2" borderId="18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center" vertical="center" wrapText="1"/>
    </xf>
    <xf numFmtId="0" fontId="13" fillId="2" borderId="21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30" fillId="9" borderId="28" xfId="0" applyFont="1" applyFill="1" applyBorder="1" applyAlignment="1">
      <alignment horizontal="center" vertical="center"/>
    </xf>
    <xf numFmtId="0" fontId="29" fillId="9" borderId="29" xfId="0" applyFont="1" applyFill="1" applyBorder="1" applyAlignment="1">
      <alignment horizontal="center" vertical="center"/>
    </xf>
    <xf numFmtId="0" fontId="29" fillId="9" borderId="30" xfId="0" applyFont="1" applyFill="1" applyBorder="1" applyAlignment="1">
      <alignment horizontal="center" vertical="center"/>
    </xf>
    <xf numFmtId="0" fontId="36" fillId="9" borderId="5" xfId="0" applyFont="1" applyFill="1" applyBorder="1" applyAlignment="1">
      <alignment horizontal="center" vertical="center"/>
    </xf>
    <xf numFmtId="0" fontId="37" fillId="9" borderId="6" xfId="0" applyFont="1" applyFill="1" applyBorder="1" applyAlignment="1">
      <alignment horizontal="center" vertical="center"/>
    </xf>
    <xf numFmtId="0" fontId="4" fillId="9" borderId="5" xfId="0" applyFont="1" applyFill="1" applyBorder="1" applyAlignment="1">
      <alignment horizontal="center" vertical="center" wrapText="1"/>
    </xf>
    <xf numFmtId="0" fontId="4" fillId="9" borderId="6" xfId="0" applyFont="1" applyFill="1" applyBorder="1" applyAlignment="1">
      <alignment horizontal="center" vertical="center" wrapText="1"/>
    </xf>
    <xf numFmtId="0" fontId="4" fillId="9" borderId="7" xfId="0" applyFont="1" applyFill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885823</xdr:colOff>
      <xdr:row>0</xdr:row>
      <xdr:rowOff>0</xdr:rowOff>
    </xdr:from>
    <xdr:to>
      <xdr:col>4</xdr:col>
      <xdr:colOff>790574</xdr:colOff>
      <xdr:row>3</xdr:row>
      <xdr:rowOff>142875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668975-A031-49E9-9673-F41550DAB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9073" y="0"/>
          <a:ext cx="1028701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98E93-9858-4CE0-BA07-241ED7B2BF2B}">
  <dimension ref="A5:L344"/>
  <sheetViews>
    <sheetView tabSelected="1" topLeftCell="A310" zoomScale="91" zoomScaleNormal="91" workbookViewId="0">
      <selection activeCell="O323" sqref="O323"/>
    </sheetView>
  </sheetViews>
  <sheetFormatPr defaultRowHeight="15" x14ac:dyDescent="0.25"/>
  <cols>
    <col min="2" max="2" width="35.42578125" customWidth="1"/>
    <col min="3" max="3" width="38" hidden="1" customWidth="1"/>
    <col min="4" max="4" width="16.85546875" customWidth="1"/>
    <col min="5" max="5" width="19" customWidth="1"/>
    <col min="6" max="6" width="26" customWidth="1"/>
    <col min="7" max="7" width="18.7109375" customWidth="1"/>
    <col min="8" max="8" width="17.85546875" customWidth="1"/>
    <col min="9" max="9" width="13" customWidth="1"/>
    <col min="10" max="11" width="10.5703125" bestFit="1" customWidth="1"/>
    <col min="12" max="12" width="14.42578125" customWidth="1"/>
  </cols>
  <sheetData>
    <row r="5" spans="1:9" x14ac:dyDescent="0.25">
      <c r="A5" s="345" t="s">
        <v>0</v>
      </c>
      <c r="B5" s="345"/>
      <c r="C5" s="345"/>
      <c r="D5" s="345"/>
      <c r="E5" s="345"/>
      <c r="F5" s="345"/>
      <c r="G5" s="345"/>
      <c r="H5" s="345"/>
    </row>
    <row r="6" spans="1:9" x14ac:dyDescent="0.25">
      <c r="A6" s="341" t="s">
        <v>1</v>
      </c>
      <c r="B6" s="341"/>
      <c r="C6" s="341"/>
      <c r="D6" s="341"/>
      <c r="E6" s="341"/>
      <c r="F6" s="341"/>
      <c r="G6" s="341"/>
      <c r="H6" s="341"/>
    </row>
    <row r="7" spans="1:9" ht="15" customHeight="1" x14ac:dyDescent="0.25">
      <c r="A7" s="1"/>
      <c r="B7" s="1"/>
      <c r="C7" s="1"/>
      <c r="D7" s="1"/>
      <c r="E7" s="1"/>
      <c r="F7" s="1"/>
      <c r="G7" s="1"/>
      <c r="H7" s="1"/>
    </row>
    <row r="8" spans="1:9" ht="15" customHeight="1" x14ac:dyDescent="0.25">
      <c r="A8" s="346" t="s">
        <v>179</v>
      </c>
      <c r="B8" s="346"/>
      <c r="C8" s="346"/>
      <c r="D8" s="346"/>
      <c r="E8" s="346"/>
      <c r="F8" s="346"/>
      <c r="G8" s="346"/>
    </row>
    <row r="10" spans="1:9" ht="15" customHeight="1" x14ac:dyDescent="0.25">
      <c r="A10" s="2"/>
      <c r="B10" s="2" t="s">
        <v>2</v>
      </c>
      <c r="C10" s="2"/>
      <c r="D10" s="3">
        <v>3.9300000000000002E-2</v>
      </c>
      <c r="E10" s="64">
        <v>1.0392999999999999</v>
      </c>
      <c r="F10" s="3"/>
      <c r="G10" s="2"/>
    </row>
    <row r="11" spans="1:9" ht="15" hidden="1" customHeight="1" x14ac:dyDescent="0.25">
      <c r="A11" s="2"/>
      <c r="B11" s="2" t="s">
        <v>2</v>
      </c>
      <c r="C11" s="2"/>
      <c r="D11" s="3">
        <v>0.10106</v>
      </c>
      <c r="E11" s="2"/>
      <c r="F11" s="2"/>
      <c r="G11" s="2"/>
    </row>
    <row r="12" spans="1:9" ht="15" customHeight="1" x14ac:dyDescent="0.25">
      <c r="A12" s="2"/>
      <c r="B12" s="2"/>
      <c r="C12" s="2"/>
      <c r="D12" s="3"/>
      <c r="E12" s="2"/>
      <c r="F12" s="2"/>
      <c r="G12" s="2"/>
    </row>
    <row r="13" spans="1:9" ht="15.75" thickBot="1" x14ac:dyDescent="0.3"/>
    <row r="14" spans="1:9" ht="33.75" customHeight="1" x14ac:dyDescent="0.25">
      <c r="B14" s="347" t="s">
        <v>3</v>
      </c>
      <c r="C14" s="4"/>
      <c r="D14" s="349">
        <v>905.32</v>
      </c>
      <c r="E14" s="5"/>
      <c r="F14" s="5"/>
      <c r="I14" s="5"/>
    </row>
    <row r="15" spans="1:9" ht="15" customHeight="1" thickBot="1" x14ac:dyDescent="0.3">
      <c r="B15" s="348"/>
      <c r="C15" s="6"/>
      <c r="D15" s="350"/>
    </row>
    <row r="16" spans="1:9" ht="54.75" customHeight="1" thickBot="1" x14ac:dyDescent="0.3">
      <c r="B16" s="6" t="s">
        <v>4</v>
      </c>
      <c r="C16" s="7"/>
      <c r="D16" s="161">
        <v>1167.4000000000001</v>
      </c>
    </row>
    <row r="19" spans="2:8" ht="16.5" thickBot="1" x14ac:dyDescent="0.3">
      <c r="B19" s="351" t="s">
        <v>5</v>
      </c>
      <c r="C19" s="351"/>
      <c r="D19" s="351"/>
      <c r="E19" s="351"/>
      <c r="F19" s="351"/>
      <c r="G19" s="351"/>
      <c r="H19" s="351"/>
    </row>
    <row r="20" spans="2:8" ht="15" customHeight="1" thickBot="1" x14ac:dyDescent="0.3">
      <c r="B20" s="352" t="s">
        <v>6</v>
      </c>
      <c r="C20" s="353"/>
      <c r="D20" s="354"/>
      <c r="E20" s="154" t="s">
        <v>7</v>
      </c>
      <c r="F20" s="154" t="s">
        <v>8</v>
      </c>
      <c r="G20" s="154" t="s">
        <v>9</v>
      </c>
      <c r="H20" s="154" t="s">
        <v>10</v>
      </c>
    </row>
    <row r="21" spans="2:8" ht="15.75" x14ac:dyDescent="0.25">
      <c r="B21" s="355" t="s">
        <v>11</v>
      </c>
      <c r="C21" s="356"/>
      <c r="D21" s="356"/>
      <c r="E21" s="156">
        <f>2773.07*E10</f>
        <v>2882.0516509999998</v>
      </c>
      <c r="F21" s="156">
        <f>2856.27*E10</f>
        <v>2968.5214109999997</v>
      </c>
      <c r="G21" s="156">
        <f>2941.96*E10</f>
        <v>3057.5790279999997</v>
      </c>
      <c r="H21" s="157">
        <f>3030.22*E10</f>
        <v>3149.3076459999993</v>
      </c>
    </row>
    <row r="22" spans="2:8" ht="15.75" x14ac:dyDescent="0.25">
      <c r="B22" s="357" t="s">
        <v>12</v>
      </c>
      <c r="C22" s="358"/>
      <c r="D22" s="358"/>
      <c r="E22" s="155">
        <f>3181.73*E10</f>
        <v>3306.7719889999998</v>
      </c>
      <c r="F22" s="155">
        <f>3277.17*E10</f>
        <v>3405.9627809999997</v>
      </c>
      <c r="G22" s="155">
        <f>3375.49*E10</f>
        <v>3508.1467569999995</v>
      </c>
      <c r="H22" s="158">
        <f>3476.77*E10</f>
        <v>3613.4070609999994</v>
      </c>
    </row>
    <row r="23" spans="2:8" ht="16.5" thickBot="1" x14ac:dyDescent="0.3">
      <c r="B23" s="359" t="s">
        <v>13</v>
      </c>
      <c r="C23" s="360"/>
      <c r="D23" s="360"/>
      <c r="E23" s="159">
        <f>3650.59*E10</f>
        <v>3794.0581869999996</v>
      </c>
      <c r="F23" s="159">
        <f>3760.11*E10</f>
        <v>3907.8823229999998</v>
      </c>
      <c r="G23" s="159">
        <f>3872.92*E10</f>
        <v>4025.1257559999995</v>
      </c>
      <c r="H23" s="160">
        <f>3989.1*E10</f>
        <v>4145.8716299999996</v>
      </c>
    </row>
    <row r="24" spans="2:8" ht="12" customHeight="1" x14ac:dyDescent="0.25"/>
    <row r="25" spans="2:8" ht="15.75" thickBot="1" x14ac:dyDescent="0.3">
      <c r="B25" s="16"/>
      <c r="C25" s="16"/>
    </row>
    <row r="26" spans="2:8" ht="16.5" thickBot="1" x14ac:dyDescent="0.3">
      <c r="B26" s="315" t="s">
        <v>22</v>
      </c>
      <c r="C26" s="316"/>
      <c r="D26" s="316"/>
      <c r="E26" s="317"/>
    </row>
    <row r="27" spans="2:8" ht="16.5" thickBot="1" x14ac:dyDescent="0.3">
      <c r="B27" s="173" t="s">
        <v>23</v>
      </c>
      <c r="C27" s="174"/>
      <c r="D27" s="174" t="s">
        <v>24</v>
      </c>
      <c r="E27" s="174" t="s">
        <v>25</v>
      </c>
    </row>
    <row r="28" spans="2:8" ht="15.75" x14ac:dyDescent="0.25">
      <c r="B28" s="176" t="s">
        <v>26</v>
      </c>
      <c r="C28" s="177"/>
      <c r="D28" s="177">
        <v>6</v>
      </c>
      <c r="E28" s="178">
        <f>997.32*E10</f>
        <v>1036.514676</v>
      </c>
    </row>
    <row r="29" spans="2:8" ht="15.75" x14ac:dyDescent="0.25">
      <c r="B29" s="179" t="s">
        <v>27</v>
      </c>
      <c r="C29" s="175"/>
      <c r="D29" s="175">
        <v>0</v>
      </c>
      <c r="E29" s="180">
        <f>2300.18*E10</f>
        <v>2390.5770739999994</v>
      </c>
    </row>
    <row r="30" spans="2:8" ht="15.75" x14ac:dyDescent="0.25">
      <c r="B30" s="179" t="s">
        <v>28</v>
      </c>
      <c r="C30" s="175"/>
      <c r="D30" s="175">
        <v>0</v>
      </c>
      <c r="E30" s="180">
        <f>2300.18*E10</f>
        <v>2390.5770739999994</v>
      </c>
    </row>
    <row r="31" spans="2:8" ht="15.75" x14ac:dyDescent="0.25">
      <c r="B31" s="179" t="s">
        <v>29</v>
      </c>
      <c r="C31" s="175"/>
      <c r="D31" s="175">
        <v>0</v>
      </c>
      <c r="E31" s="180">
        <f>2300.18*E10</f>
        <v>2390.5770739999994</v>
      </c>
    </row>
    <row r="32" spans="2:8" ht="15.75" x14ac:dyDescent="0.25">
      <c r="B32" s="179" t="s">
        <v>30</v>
      </c>
      <c r="C32" s="175"/>
      <c r="D32" s="175">
        <v>0</v>
      </c>
      <c r="E32" s="180">
        <f>2366.42*E10</f>
        <v>2459.420306</v>
      </c>
    </row>
    <row r="33" spans="2:12" ht="16.5" thickBot="1" x14ac:dyDescent="0.3">
      <c r="B33" s="181" t="s">
        <v>31</v>
      </c>
      <c r="C33" s="182"/>
      <c r="D33" s="182">
        <v>0</v>
      </c>
      <c r="E33" s="183">
        <f>2300.18*E10</f>
        <v>2390.5770739999994</v>
      </c>
    </row>
    <row r="40" spans="2:12" ht="15.75" thickBot="1" x14ac:dyDescent="0.3"/>
    <row r="41" spans="2:12" ht="15.75" x14ac:dyDescent="0.25">
      <c r="B41" s="324" t="s">
        <v>32</v>
      </c>
      <c r="C41" s="325"/>
      <c r="D41" s="325"/>
      <c r="E41" s="325"/>
      <c r="F41" s="325"/>
      <c r="G41" s="325"/>
      <c r="H41" s="325"/>
      <c r="I41" s="326"/>
    </row>
    <row r="42" spans="2:12" ht="16.5" thickBot="1" x14ac:dyDescent="0.3">
      <c r="B42" s="327" t="s">
        <v>33</v>
      </c>
      <c r="C42" s="328"/>
      <c r="D42" s="328"/>
      <c r="E42" s="328"/>
      <c r="F42" s="328"/>
      <c r="G42" s="328"/>
      <c r="H42" s="328"/>
      <c r="I42" s="329"/>
    </row>
    <row r="43" spans="2:12" ht="16.5" thickBot="1" x14ac:dyDescent="0.3">
      <c r="B43" s="166"/>
      <c r="C43" s="19"/>
      <c r="D43" s="369" t="s">
        <v>34</v>
      </c>
      <c r="E43" s="370"/>
      <c r="F43" s="370"/>
      <c r="G43" s="370"/>
      <c r="H43" s="370"/>
      <c r="I43" s="371"/>
    </row>
    <row r="44" spans="2:12" ht="17.25" thickTop="1" thickBot="1" x14ac:dyDescent="0.3">
      <c r="B44" s="166" t="s">
        <v>24</v>
      </c>
      <c r="C44" s="162"/>
      <c r="D44" s="162" t="s">
        <v>10</v>
      </c>
      <c r="E44" s="162" t="s">
        <v>9</v>
      </c>
      <c r="F44" s="162" t="s">
        <v>8</v>
      </c>
      <c r="G44" s="162" t="s">
        <v>7</v>
      </c>
      <c r="H44" s="162" t="s">
        <v>35</v>
      </c>
      <c r="I44" s="167" t="s">
        <v>36</v>
      </c>
      <c r="L44" s="73"/>
    </row>
    <row r="45" spans="2:12" ht="15.75" x14ac:dyDescent="0.25">
      <c r="B45" s="184">
        <v>1</v>
      </c>
      <c r="C45" s="185"/>
      <c r="D45" s="186">
        <f>2133.46*E10</f>
        <v>2217.3049779999997</v>
      </c>
      <c r="E45" s="187">
        <f>2164.8*E10</f>
        <v>2249.87664</v>
      </c>
      <c r="F45" s="186">
        <f>2198.29*E10</f>
        <v>2284.6827969999999</v>
      </c>
      <c r="G45" s="186">
        <f>2229.67*E10</f>
        <v>2317.2960309999999</v>
      </c>
      <c r="H45" s="186">
        <f>2263.11*E10</f>
        <v>2352.0502229999997</v>
      </c>
      <c r="I45" s="188">
        <f>2296.59*E10</f>
        <v>2386.8459869999997</v>
      </c>
      <c r="L45" s="122"/>
    </row>
    <row r="46" spans="2:12" ht="15.75" x14ac:dyDescent="0.25">
      <c r="B46" s="168">
        <v>2</v>
      </c>
      <c r="C46" s="163"/>
      <c r="D46" s="164">
        <f>2342.61*E10</f>
        <v>2434.6745729999998</v>
      </c>
      <c r="E46" s="165">
        <f>2394.91*E10</f>
        <v>2489.0299629999995</v>
      </c>
      <c r="F46" s="164">
        <f>2442.99*E10</f>
        <v>2538.9995069999995</v>
      </c>
      <c r="G46" s="164">
        <f>2495.31*E10</f>
        <v>2593.3756829999998</v>
      </c>
      <c r="H46" s="164">
        <f>2547.6*E10</f>
        <v>2647.7206799999994</v>
      </c>
      <c r="I46" s="189">
        <f>2599.89*E10</f>
        <v>2702.0656769999996</v>
      </c>
      <c r="L46" s="122"/>
    </row>
    <row r="47" spans="2:12" ht="15.75" x14ac:dyDescent="0.25">
      <c r="B47" s="168">
        <v>3</v>
      </c>
      <c r="C47" s="163"/>
      <c r="D47" s="164">
        <f>2652.17*E10</f>
        <v>2756.4002809999997</v>
      </c>
      <c r="E47" s="165">
        <f>2704.46*E10</f>
        <v>2810.7452779999999</v>
      </c>
      <c r="F47" s="164">
        <f>2758.96*E10</f>
        <v>2867.3871279999998</v>
      </c>
      <c r="G47" s="164">
        <f>2815.28*E10</f>
        <v>2925.9205039999997</v>
      </c>
      <c r="H47" s="164">
        <f>2871.76*E10</f>
        <v>2984.6201679999999</v>
      </c>
      <c r="I47" s="189">
        <f>2928.27*E10</f>
        <v>3043.3510109999997</v>
      </c>
      <c r="L47" s="122"/>
    </row>
    <row r="48" spans="2:12" ht="15.75" x14ac:dyDescent="0.25">
      <c r="B48" s="168">
        <v>4</v>
      </c>
      <c r="C48" s="163"/>
      <c r="D48" s="164">
        <f>2986.82*E10</f>
        <v>3104.2020259999999</v>
      </c>
      <c r="E48" s="165">
        <f>3047.48*E10</f>
        <v>3167.2459639999997</v>
      </c>
      <c r="F48" s="164">
        <f>3108.14*E10</f>
        <v>3230.2899019999995</v>
      </c>
      <c r="G48" s="164">
        <f>3168.82*E10</f>
        <v>3293.3546259999998</v>
      </c>
      <c r="H48" s="164">
        <f>3233.63*E10</f>
        <v>3360.7116589999996</v>
      </c>
      <c r="I48" s="189">
        <f>3298.49*E10</f>
        <v>3428.1206569999995</v>
      </c>
      <c r="L48" s="122"/>
    </row>
    <row r="49" spans="2:12" ht="16.5" thickBot="1" x14ac:dyDescent="0.3">
      <c r="B49" s="169">
        <v>5</v>
      </c>
      <c r="C49" s="170"/>
      <c r="D49" s="171">
        <f>3363.3*E10</f>
        <v>3495.4776899999997</v>
      </c>
      <c r="E49" s="172">
        <f>3430.21*E10</f>
        <v>3565.0172529999995</v>
      </c>
      <c r="F49" s="171">
        <f>3499.25*E10</f>
        <v>3636.7705249999995</v>
      </c>
      <c r="G49" s="171">
        <f>3570.39*E10</f>
        <v>3710.7063269999994</v>
      </c>
      <c r="H49" s="171">
        <f>3641.5*E10</f>
        <v>3784.6109499999998</v>
      </c>
      <c r="I49" s="190">
        <f>3714.73*E10</f>
        <v>3860.7188889999998</v>
      </c>
      <c r="L49" s="122"/>
    </row>
    <row r="51" spans="2:12" ht="15.75" thickBot="1" x14ac:dyDescent="0.3"/>
    <row r="52" spans="2:12" ht="20.25" thickTop="1" thickBot="1" x14ac:dyDescent="0.3">
      <c r="B52" s="330" t="s">
        <v>37</v>
      </c>
      <c r="C52" s="331"/>
      <c r="D52" s="331"/>
      <c r="E52" s="331"/>
      <c r="F52" s="331"/>
      <c r="G52" s="331"/>
      <c r="H52" s="331"/>
      <c r="I52" s="332"/>
    </row>
    <row r="53" spans="2:12" ht="16.5" thickBot="1" x14ac:dyDescent="0.3">
      <c r="B53" s="18"/>
      <c r="C53" s="19"/>
      <c r="D53" s="333" t="s">
        <v>38</v>
      </c>
      <c r="E53" s="334"/>
      <c r="F53" s="334"/>
      <c r="G53" s="334"/>
      <c r="H53" s="334"/>
      <c r="I53" s="335"/>
    </row>
    <row r="54" spans="2:12" ht="17.25" thickTop="1" thickBot="1" x14ac:dyDescent="0.3">
      <c r="B54" s="18" t="s">
        <v>24</v>
      </c>
      <c r="C54" s="162"/>
      <c r="D54" s="162" t="s">
        <v>10</v>
      </c>
      <c r="E54" s="162" t="s">
        <v>9</v>
      </c>
      <c r="F54" s="162" t="s">
        <v>8</v>
      </c>
      <c r="G54" s="162" t="s">
        <v>7</v>
      </c>
      <c r="H54" s="162" t="s">
        <v>35</v>
      </c>
      <c r="I54" s="162" t="s">
        <v>36</v>
      </c>
    </row>
    <row r="55" spans="2:12" ht="15.75" x14ac:dyDescent="0.25">
      <c r="B55" s="176">
        <v>1</v>
      </c>
      <c r="C55" s="177"/>
      <c r="D55" s="186">
        <f>1797.07*E10</f>
        <v>1867.6948509999997</v>
      </c>
      <c r="E55" s="186">
        <f>1851.01*E10</f>
        <v>1923.7546929999999</v>
      </c>
      <c r="F55" s="186">
        <f>1906.52*E10</f>
        <v>1981.4462359999998</v>
      </c>
      <c r="G55" s="186">
        <f>1963.75*E10</f>
        <v>2040.9253749999998</v>
      </c>
      <c r="H55" s="186">
        <f>2022.62*E10</f>
        <v>2102.1089659999998</v>
      </c>
      <c r="I55" s="188">
        <f>2083.16*E10</f>
        <v>2165.0281879999998</v>
      </c>
    </row>
    <row r="56" spans="2:12" ht="15.75" x14ac:dyDescent="0.25">
      <c r="B56" s="179">
        <v>2</v>
      </c>
      <c r="C56" s="175"/>
      <c r="D56" s="164">
        <f>2187.56*E10</f>
        <v>2273.5311079999997</v>
      </c>
      <c r="E56" s="164">
        <f>2253.17*E10</f>
        <v>2341.7195809999998</v>
      </c>
      <c r="F56" s="164">
        <f>2320.79*E10</f>
        <v>2411.9970469999998</v>
      </c>
      <c r="G56" s="164">
        <f>2390.36*E10</f>
        <v>2484.301148</v>
      </c>
      <c r="H56" s="164">
        <f>2462.12*E10</f>
        <v>2558.8813159999995</v>
      </c>
      <c r="I56" s="189">
        <f>2535.77*E10</f>
        <v>2635.4257609999995</v>
      </c>
    </row>
    <row r="57" spans="2:12" ht="15.75" x14ac:dyDescent="0.25">
      <c r="B57" s="179">
        <v>3</v>
      </c>
      <c r="C57" s="175"/>
      <c r="D57" s="164">
        <f>2734.63*E10</f>
        <v>2842.1009589999999</v>
      </c>
      <c r="E57" s="164">
        <f>2816.58*E10</f>
        <v>2927.2715939999998</v>
      </c>
      <c r="F57" s="164">
        <f>2901.11*E10</f>
        <v>3015.123623</v>
      </c>
      <c r="G57" s="164">
        <f>2988.19*E10</f>
        <v>3105.6258669999997</v>
      </c>
      <c r="H57" s="164">
        <f>3078.2*E10</f>
        <v>3199.1732599999996</v>
      </c>
      <c r="I57" s="189">
        <f>3170.15*E10</f>
        <v>3294.7368949999995</v>
      </c>
    </row>
    <row r="58" spans="2:12" ht="15.75" x14ac:dyDescent="0.25">
      <c r="B58" s="179">
        <v>4</v>
      </c>
      <c r="C58" s="175"/>
      <c r="D58" s="253">
        <f>3359.56*E10</f>
        <v>3491.5907079999997</v>
      </c>
      <c r="E58" s="164">
        <f>3460.4*E10</f>
        <v>3596.3937199999996</v>
      </c>
      <c r="F58" s="164">
        <f>3564.25*E10</f>
        <v>3704.3250249999996</v>
      </c>
      <c r="G58" s="164">
        <f>3671.21*E10</f>
        <v>3815.4885529999997</v>
      </c>
      <c r="H58" s="164">
        <f>3781.3*E10</f>
        <v>3929.9050899999997</v>
      </c>
      <c r="I58" s="189">
        <f>3894.73*E10</f>
        <v>4047.7928889999994</v>
      </c>
    </row>
    <row r="59" spans="2:12" ht="16.5" thickBot="1" x14ac:dyDescent="0.3">
      <c r="B59" s="181">
        <v>5</v>
      </c>
      <c r="C59" s="182"/>
      <c r="D59" s="171">
        <f>4453.48*E10</f>
        <v>4628.5017639999987</v>
      </c>
      <c r="E59" s="171">
        <f>4587.1*E10</f>
        <v>4767.3730299999997</v>
      </c>
      <c r="F59" s="171">
        <f>4724.68*E10</f>
        <v>4910.3599239999994</v>
      </c>
      <c r="G59" s="171">
        <f>4866.44*E10</f>
        <v>5057.6910919999991</v>
      </c>
      <c r="H59" s="171">
        <f>5012.39*E10</f>
        <v>5209.3769269999993</v>
      </c>
      <c r="I59" s="190">
        <f>5162.88*E10</f>
        <v>5365.7811839999995</v>
      </c>
    </row>
    <row r="60" spans="2:12" ht="15.75" x14ac:dyDescent="0.25">
      <c r="B60" s="20"/>
      <c r="C60" s="20"/>
      <c r="D60" s="21"/>
      <c r="E60" s="21"/>
      <c r="F60" s="21"/>
      <c r="G60" s="21"/>
      <c r="H60" s="21"/>
      <c r="I60" s="21"/>
    </row>
    <row r="61" spans="2:12" ht="15.75" thickBot="1" x14ac:dyDescent="0.3"/>
    <row r="62" spans="2:12" ht="67.5" customHeight="1" thickBot="1" x14ac:dyDescent="0.3">
      <c r="B62" s="312" t="s">
        <v>39</v>
      </c>
      <c r="C62" s="313"/>
      <c r="D62" s="314"/>
      <c r="F62" s="312" t="s">
        <v>174</v>
      </c>
      <c r="G62" s="313"/>
      <c r="H62" s="314"/>
    </row>
    <row r="63" spans="2:12" ht="19.5" thickBot="1" x14ac:dyDescent="0.3">
      <c r="B63" s="336" t="s">
        <v>40</v>
      </c>
      <c r="C63" s="337"/>
      <c r="D63" s="338"/>
      <c r="F63" s="336" t="s">
        <v>40</v>
      </c>
      <c r="G63" s="337"/>
      <c r="H63" s="338"/>
    </row>
    <row r="64" spans="2:12" ht="16.5" thickBot="1" x14ac:dyDescent="0.3">
      <c r="B64" s="24" t="s">
        <v>38</v>
      </c>
      <c r="C64" s="167"/>
      <c r="D64" s="167" t="s">
        <v>25</v>
      </c>
      <c r="F64" s="339" t="s">
        <v>38</v>
      </c>
      <c r="G64" s="340"/>
      <c r="H64" s="23" t="s">
        <v>25</v>
      </c>
    </row>
    <row r="65" spans="2:8" ht="16.5" thickBot="1" x14ac:dyDescent="0.3">
      <c r="B65" s="176" t="s">
        <v>10</v>
      </c>
      <c r="C65" s="177"/>
      <c r="D65" s="192">
        <f>6515.41*E10</f>
        <v>6771.4656129999994</v>
      </c>
      <c r="F65" s="309" t="s">
        <v>10</v>
      </c>
      <c r="G65" s="310"/>
      <c r="H65" s="214">
        <f>D65-(8606.33*0.41)</f>
        <v>3242.8703129999994</v>
      </c>
    </row>
    <row r="66" spans="2:8" ht="16.5" thickBot="1" x14ac:dyDescent="0.3">
      <c r="B66" s="179" t="s">
        <v>9</v>
      </c>
      <c r="C66" s="175"/>
      <c r="D66" s="193">
        <f>6576.07*E10</f>
        <v>6834.5095509999992</v>
      </c>
      <c r="F66" s="309" t="s">
        <v>9</v>
      </c>
      <c r="G66" s="310"/>
      <c r="H66" s="214">
        <f t="shared" ref="H66:H70" si="0">D66-(8606.33*0.41)</f>
        <v>3305.9142509999992</v>
      </c>
    </row>
    <row r="67" spans="2:8" ht="16.5" thickBot="1" x14ac:dyDescent="0.3">
      <c r="B67" s="179" t="s">
        <v>8</v>
      </c>
      <c r="C67" s="175"/>
      <c r="D67" s="193">
        <f>6636.72*E10</f>
        <v>6897.5430959999994</v>
      </c>
      <c r="F67" s="309" t="s">
        <v>8</v>
      </c>
      <c r="G67" s="310"/>
      <c r="H67" s="214">
        <f t="shared" si="0"/>
        <v>3368.9477959999995</v>
      </c>
    </row>
    <row r="68" spans="2:8" ht="16.5" thickBot="1" x14ac:dyDescent="0.3">
      <c r="B68" s="179" t="s">
        <v>7</v>
      </c>
      <c r="C68" s="175"/>
      <c r="D68" s="193">
        <f>6697.4*E10</f>
        <v>6960.6078199999993</v>
      </c>
      <c r="F68" s="309" t="s">
        <v>7</v>
      </c>
      <c r="G68" s="310"/>
      <c r="H68" s="214">
        <f t="shared" si="0"/>
        <v>3432.0125199999993</v>
      </c>
    </row>
    <row r="69" spans="2:8" ht="16.5" thickBot="1" x14ac:dyDescent="0.3">
      <c r="B69" s="179" t="s">
        <v>35</v>
      </c>
      <c r="C69" s="175"/>
      <c r="D69" s="193">
        <f>6762.23*E10</f>
        <v>7027.9856389999986</v>
      </c>
      <c r="F69" s="309" t="s">
        <v>35</v>
      </c>
      <c r="G69" s="310"/>
      <c r="H69" s="214">
        <f t="shared" si="0"/>
        <v>3499.3903389999987</v>
      </c>
    </row>
    <row r="70" spans="2:8" ht="16.5" thickBot="1" x14ac:dyDescent="0.3">
      <c r="B70" s="181" t="s">
        <v>36</v>
      </c>
      <c r="C70" s="182"/>
      <c r="D70" s="194">
        <f>6827.08*E10</f>
        <v>7095.3842439999989</v>
      </c>
      <c r="F70" s="309" t="s">
        <v>36</v>
      </c>
      <c r="G70" s="310"/>
      <c r="H70" s="214">
        <f t="shared" si="0"/>
        <v>3566.788943999999</v>
      </c>
    </row>
    <row r="71" spans="2:8" ht="15.75" x14ac:dyDescent="0.25">
      <c r="B71" s="20"/>
      <c r="C71" s="20"/>
      <c r="D71" s="220"/>
    </row>
    <row r="72" spans="2:8" ht="15.75" x14ac:dyDescent="0.25">
      <c r="B72" s="20"/>
      <c r="C72" s="20"/>
      <c r="D72" s="220"/>
    </row>
    <row r="73" spans="2:8" ht="15.75" x14ac:dyDescent="0.25">
      <c r="B73" s="20"/>
      <c r="C73" s="20"/>
      <c r="D73" s="220"/>
    </row>
    <row r="74" spans="2:8" ht="19.5" thickBot="1" x14ac:dyDescent="0.3">
      <c r="F74" s="311"/>
      <c r="G74" s="311"/>
      <c r="H74" s="311"/>
    </row>
    <row r="75" spans="2:8" ht="86.25" customHeight="1" thickBot="1" x14ac:dyDescent="0.3">
      <c r="B75" s="312" t="s">
        <v>41</v>
      </c>
      <c r="C75" s="313"/>
      <c r="D75" s="314"/>
      <c r="F75" s="312" t="s">
        <v>175</v>
      </c>
      <c r="G75" s="313"/>
      <c r="H75" s="314"/>
    </row>
    <row r="76" spans="2:8" ht="19.5" thickBot="1" x14ac:dyDescent="0.3">
      <c r="B76" s="336" t="s">
        <v>40</v>
      </c>
      <c r="C76" s="337"/>
      <c r="D76" s="338"/>
      <c r="F76" s="229" t="s">
        <v>40</v>
      </c>
      <c r="G76" s="230"/>
      <c r="H76" s="231"/>
    </row>
    <row r="77" spans="2:8" ht="16.5" thickBot="1" x14ac:dyDescent="0.3">
      <c r="B77" s="24" t="s">
        <v>38</v>
      </c>
      <c r="C77" s="167"/>
      <c r="D77" s="167" t="s">
        <v>25</v>
      </c>
      <c r="F77" s="232" t="s">
        <v>38</v>
      </c>
      <c r="G77" s="10"/>
      <c r="H77" s="23" t="s">
        <v>25</v>
      </c>
    </row>
    <row r="78" spans="2:8" ht="16.5" thickBot="1" x14ac:dyDescent="0.3">
      <c r="B78" s="176" t="s">
        <v>10</v>
      </c>
      <c r="C78" s="177"/>
      <c r="D78" s="192">
        <f>6888.14*E10</f>
        <v>7158.8439019999996</v>
      </c>
      <c r="F78" s="233" t="s">
        <v>10</v>
      </c>
      <c r="G78" s="234"/>
      <c r="H78" s="214">
        <f>D78-(8606.33*0.41)</f>
        <v>3630.2486019999997</v>
      </c>
    </row>
    <row r="79" spans="2:8" ht="16.5" thickBot="1" x14ac:dyDescent="0.3">
      <c r="B79" s="179" t="s">
        <v>9</v>
      </c>
      <c r="C79" s="175"/>
      <c r="D79" s="193">
        <f>6988.99*E10</f>
        <v>7263.6573069999986</v>
      </c>
      <c r="F79" s="233" t="s">
        <v>9</v>
      </c>
      <c r="G79" s="234"/>
      <c r="H79" s="214">
        <f t="shared" ref="H79:H83" si="1">D79-(8606.33*0.41)</f>
        <v>3735.0620069999986</v>
      </c>
    </row>
    <row r="80" spans="2:8" ht="16.5" thickBot="1" x14ac:dyDescent="0.3">
      <c r="B80" s="179" t="s">
        <v>8</v>
      </c>
      <c r="C80" s="175"/>
      <c r="D80" s="193">
        <f>7092.84*E10</f>
        <v>7371.5886119999996</v>
      </c>
      <c r="F80" s="233" t="s">
        <v>8</v>
      </c>
      <c r="G80" s="234"/>
      <c r="H80" s="214">
        <f t="shared" si="1"/>
        <v>3842.9933119999996</v>
      </c>
    </row>
    <row r="81" spans="2:8" ht="16.5" thickBot="1" x14ac:dyDescent="0.3">
      <c r="B81" s="179" t="s">
        <v>7</v>
      </c>
      <c r="C81" s="175"/>
      <c r="D81" s="193">
        <f>7199.8*E10</f>
        <v>7482.7521399999996</v>
      </c>
      <c r="F81" s="233" t="s">
        <v>7</v>
      </c>
      <c r="G81" s="234"/>
      <c r="H81" s="214">
        <f t="shared" si="1"/>
        <v>3954.1568399999996</v>
      </c>
    </row>
    <row r="82" spans="2:8" ht="16.5" thickBot="1" x14ac:dyDescent="0.3">
      <c r="B82" s="179" t="s">
        <v>35</v>
      </c>
      <c r="C82" s="175"/>
      <c r="D82" s="193">
        <f>7309.89*E10</f>
        <v>7597.1686769999997</v>
      </c>
      <c r="F82" s="233" t="s">
        <v>35</v>
      </c>
      <c r="G82" s="234"/>
      <c r="H82" s="214">
        <f t="shared" si="1"/>
        <v>4068.5733769999997</v>
      </c>
    </row>
    <row r="83" spans="2:8" ht="16.5" thickBot="1" x14ac:dyDescent="0.3">
      <c r="B83" s="181" t="s">
        <v>36</v>
      </c>
      <c r="C83" s="182"/>
      <c r="D83" s="194">
        <f>7423.32*E10</f>
        <v>7715.0564759999988</v>
      </c>
      <c r="F83" s="233" t="s">
        <v>36</v>
      </c>
      <c r="G83" s="234"/>
      <c r="H83" s="214">
        <f t="shared" si="1"/>
        <v>4186.4611759999989</v>
      </c>
    </row>
    <row r="84" spans="2:8" ht="15.75" x14ac:dyDescent="0.25">
      <c r="B84" s="20"/>
      <c r="C84" s="20"/>
      <c r="D84" s="55"/>
    </row>
    <row r="85" spans="2:8" ht="15.75" thickBot="1" x14ac:dyDescent="0.3"/>
    <row r="86" spans="2:8" ht="16.5" thickBot="1" x14ac:dyDescent="0.3">
      <c r="B86" s="315" t="s">
        <v>42</v>
      </c>
      <c r="C86" s="316"/>
      <c r="D86" s="317"/>
      <c r="F86" s="195" t="s">
        <v>53</v>
      </c>
      <c r="G86" s="196" t="s">
        <v>54</v>
      </c>
      <c r="H86" s="217"/>
    </row>
    <row r="87" spans="2:8" ht="18" thickBot="1" x14ac:dyDescent="0.3">
      <c r="B87" s="378" t="s">
        <v>43</v>
      </c>
      <c r="C87" s="379"/>
      <c r="D87" s="380"/>
      <c r="F87" s="197" t="s">
        <v>55</v>
      </c>
      <c r="G87" s="215">
        <f>15992.88*E10</f>
        <v>16621.400183999998</v>
      </c>
      <c r="H87" s="218"/>
    </row>
    <row r="88" spans="2:8" ht="16.5" thickBot="1" x14ac:dyDescent="0.3">
      <c r="B88" s="24" t="s">
        <v>38</v>
      </c>
      <c r="C88" s="167"/>
      <c r="D88" s="167" t="s">
        <v>25</v>
      </c>
      <c r="F88" s="198" t="s">
        <v>56</v>
      </c>
      <c r="G88" s="241">
        <f>8606.33*E10</f>
        <v>8944.5587689999993</v>
      </c>
      <c r="H88" s="218"/>
    </row>
    <row r="89" spans="2:8" ht="15.75" x14ac:dyDescent="0.25">
      <c r="B89" s="176" t="s">
        <v>10</v>
      </c>
      <c r="C89" s="177"/>
      <c r="D89" s="157">
        <f>13097.94*E10</f>
        <v>13612.689042</v>
      </c>
      <c r="F89" s="198" t="s">
        <v>57</v>
      </c>
      <c r="G89" s="241">
        <f>8606.33*E10</f>
        <v>8944.5587689999993</v>
      </c>
      <c r="H89" s="218"/>
    </row>
    <row r="90" spans="2:8" ht="18.75" customHeight="1" x14ac:dyDescent="0.25">
      <c r="B90" s="179" t="s">
        <v>9</v>
      </c>
      <c r="C90" s="175"/>
      <c r="D90" s="193">
        <f>15062.62*E10</f>
        <v>15654.580966</v>
      </c>
      <c r="F90" s="179" t="s">
        <v>58</v>
      </c>
      <c r="G90" s="241">
        <f>8606.33*E10</f>
        <v>8944.5587689999993</v>
      </c>
      <c r="H90" s="218"/>
    </row>
    <row r="91" spans="2:8" ht="17.25" customHeight="1" thickBot="1" x14ac:dyDescent="0.3">
      <c r="B91" s="179" t="s">
        <v>8</v>
      </c>
      <c r="C91" s="175"/>
      <c r="D91" s="193">
        <f>17322.03*E10</f>
        <v>18002.785778999998</v>
      </c>
      <c r="F91" s="181" t="s">
        <v>59</v>
      </c>
      <c r="G91" s="216">
        <f>3670.66*E10</f>
        <v>3814.9169379999994</v>
      </c>
      <c r="H91" s="218"/>
    </row>
    <row r="92" spans="2:8" ht="15.75" x14ac:dyDescent="0.25">
      <c r="B92" s="179" t="s">
        <v>7</v>
      </c>
      <c r="C92" s="175"/>
      <c r="D92" s="193">
        <f>19920.32*E10</f>
        <v>20703.188575999997</v>
      </c>
    </row>
    <row r="93" spans="2:8" ht="15.75" x14ac:dyDescent="0.25">
      <c r="B93" s="179" t="s">
        <v>35</v>
      </c>
      <c r="C93" s="175"/>
      <c r="D93" s="193">
        <f>22908.42*E10</f>
        <v>23808.720905999995</v>
      </c>
    </row>
    <row r="94" spans="2:8" ht="16.5" thickBot="1" x14ac:dyDescent="0.3">
      <c r="B94" s="181" t="s">
        <v>36</v>
      </c>
      <c r="C94" s="182"/>
      <c r="D94" s="194">
        <f>26344.68*E10</f>
        <v>27380.025923999998</v>
      </c>
    </row>
    <row r="96" spans="2:8" ht="15.75" thickBot="1" x14ac:dyDescent="0.3"/>
    <row r="97" spans="2:4" ht="15.75" customHeight="1" x14ac:dyDescent="0.25">
      <c r="B97" s="324" t="s">
        <v>44</v>
      </c>
      <c r="C97" s="325"/>
      <c r="D97" s="326"/>
    </row>
    <row r="98" spans="2:4" ht="16.5" thickBot="1" x14ac:dyDescent="0.3">
      <c r="B98" s="327" t="s">
        <v>45</v>
      </c>
      <c r="C98" s="328"/>
      <c r="D98" s="329"/>
    </row>
    <row r="99" spans="2:4" ht="15.75" x14ac:dyDescent="0.25">
      <c r="B99" s="24" t="s">
        <v>24</v>
      </c>
      <c r="C99" s="24"/>
      <c r="D99" s="361" t="s">
        <v>25</v>
      </c>
    </row>
    <row r="100" spans="2:4" ht="16.5" thickBot="1" x14ac:dyDescent="0.3">
      <c r="B100" s="24" t="s">
        <v>46</v>
      </c>
      <c r="C100" s="24"/>
      <c r="D100" s="362"/>
    </row>
    <row r="101" spans="2:4" ht="15.75" x14ac:dyDescent="0.25">
      <c r="B101" s="176" t="s">
        <v>47</v>
      </c>
      <c r="C101" s="177"/>
      <c r="D101" s="192">
        <f>5226.53*E10</f>
        <v>5431.932628999999</v>
      </c>
    </row>
    <row r="102" spans="2:4" ht="15.75" x14ac:dyDescent="0.25">
      <c r="B102" s="179" t="s">
        <v>48</v>
      </c>
      <c r="C102" s="175"/>
      <c r="D102" s="193">
        <f>6010.53*E10</f>
        <v>6246.7438289999991</v>
      </c>
    </row>
    <row r="103" spans="2:4" ht="15.75" x14ac:dyDescent="0.25">
      <c r="B103" s="179" t="s">
        <v>49</v>
      </c>
      <c r="C103" s="175"/>
      <c r="D103" s="193">
        <f>6912.66*E10</f>
        <v>7184.3275379999986</v>
      </c>
    </row>
    <row r="104" spans="2:4" ht="15.75" x14ac:dyDescent="0.25">
      <c r="B104" s="179" t="s">
        <v>50</v>
      </c>
      <c r="C104" s="175"/>
      <c r="D104" s="193">
        <f>7948.87*E10</f>
        <v>8261.2605909999984</v>
      </c>
    </row>
    <row r="105" spans="2:4" ht="15.75" x14ac:dyDescent="0.25">
      <c r="B105" s="179" t="s">
        <v>51</v>
      </c>
      <c r="C105" s="175"/>
      <c r="D105" s="193">
        <f>9141.22*E10</f>
        <v>9500.4699459999974</v>
      </c>
    </row>
    <row r="106" spans="2:4" ht="16.5" thickBot="1" x14ac:dyDescent="0.3">
      <c r="B106" s="181" t="s">
        <v>52</v>
      </c>
      <c r="C106" s="182"/>
      <c r="D106" s="194">
        <f>10512.39*E10</f>
        <v>10925.526926999999</v>
      </c>
    </row>
    <row r="109" spans="2:4" ht="15.75" x14ac:dyDescent="0.25">
      <c r="B109" s="217"/>
      <c r="C109" s="217"/>
      <c r="D109" s="217"/>
    </row>
    <row r="110" spans="2:4" ht="15.75" x14ac:dyDescent="0.25">
      <c r="B110" s="219"/>
      <c r="C110" s="219"/>
      <c r="D110" s="218"/>
    </row>
    <row r="111" spans="2:4" ht="15.75" x14ac:dyDescent="0.25">
      <c r="B111" s="84"/>
      <c r="C111" s="84"/>
      <c r="D111" s="55"/>
    </row>
    <row r="112" spans="2:4" ht="15.75" thickBot="1" x14ac:dyDescent="0.3"/>
    <row r="113" spans="2:12" x14ac:dyDescent="0.25">
      <c r="B113" s="319"/>
      <c r="C113" s="25"/>
      <c r="D113" s="319"/>
      <c r="E113" s="372" t="s">
        <v>60</v>
      </c>
      <c r="F113" s="373"/>
      <c r="G113" s="373"/>
      <c r="H113" s="373"/>
      <c r="I113" s="374"/>
      <c r="J113" s="319"/>
      <c r="K113" s="319"/>
      <c r="L113" s="319"/>
    </row>
    <row r="114" spans="2:12" ht="15.75" thickBot="1" x14ac:dyDescent="0.3">
      <c r="B114" s="320"/>
      <c r="C114" s="26"/>
      <c r="D114" s="320"/>
      <c r="E114" s="375"/>
      <c r="F114" s="376"/>
      <c r="G114" s="376"/>
      <c r="H114" s="376"/>
      <c r="I114" s="377"/>
      <c r="J114" s="320"/>
      <c r="K114" s="320"/>
      <c r="L114" s="320"/>
    </row>
    <row r="115" spans="2:12" x14ac:dyDescent="0.25">
      <c r="B115" s="321" t="s">
        <v>61</v>
      </c>
      <c r="C115" s="27"/>
      <c r="D115" s="321" t="s">
        <v>62</v>
      </c>
      <c r="E115" s="321" t="s">
        <v>63</v>
      </c>
      <c r="F115" s="321" t="s">
        <v>64</v>
      </c>
      <c r="G115" s="321" t="s">
        <v>65</v>
      </c>
      <c r="H115" s="321"/>
      <c r="I115" s="321" t="s">
        <v>66</v>
      </c>
      <c r="J115" s="321" t="s">
        <v>67</v>
      </c>
      <c r="K115" s="28" t="s">
        <v>68</v>
      </c>
      <c r="L115" s="28" t="s">
        <v>69</v>
      </c>
    </row>
    <row r="116" spans="2:12" x14ac:dyDescent="0.25">
      <c r="B116" s="322"/>
      <c r="C116" s="29"/>
      <c r="D116" s="322"/>
      <c r="E116" s="322"/>
      <c r="F116" s="322"/>
      <c r="G116" s="322"/>
      <c r="H116" s="322"/>
      <c r="I116" s="322"/>
      <c r="J116" s="322"/>
      <c r="K116" s="28" t="s">
        <v>70</v>
      </c>
      <c r="L116" s="28" t="s">
        <v>71</v>
      </c>
    </row>
    <row r="117" spans="2:12" ht="15.75" thickBot="1" x14ac:dyDescent="0.3">
      <c r="B117" s="323"/>
      <c r="C117" s="30"/>
      <c r="D117" s="323"/>
      <c r="E117" s="323"/>
      <c r="F117" s="323"/>
      <c r="G117" s="323"/>
      <c r="H117" s="323"/>
      <c r="I117" s="323"/>
      <c r="J117" s="323"/>
      <c r="K117" s="31" t="s">
        <v>72</v>
      </c>
      <c r="L117" s="32" t="s">
        <v>73</v>
      </c>
    </row>
    <row r="118" spans="2:12" ht="15.75" thickBot="1" x14ac:dyDescent="0.3">
      <c r="B118" s="30" t="s">
        <v>139</v>
      </c>
      <c r="C118" s="32"/>
      <c r="D118" s="32" t="s">
        <v>75</v>
      </c>
      <c r="E118" s="32" t="s">
        <v>75</v>
      </c>
      <c r="F118" s="32" t="s">
        <v>75</v>
      </c>
      <c r="G118" s="32" t="s">
        <v>75</v>
      </c>
      <c r="H118" s="32" t="s">
        <v>75</v>
      </c>
      <c r="I118" s="33">
        <f>18669.45*E10</f>
        <v>19403.159384999999</v>
      </c>
      <c r="J118" s="32"/>
      <c r="K118" s="31"/>
      <c r="L118" s="33">
        <f>18669.45*E10</f>
        <v>19403.159384999999</v>
      </c>
    </row>
    <row r="119" spans="2:12" ht="15.75" thickBot="1" x14ac:dyDescent="0.3">
      <c r="B119" s="30" t="s">
        <v>74</v>
      </c>
      <c r="C119" s="32"/>
      <c r="D119" s="254" t="s">
        <v>75</v>
      </c>
      <c r="E119" s="254" t="s">
        <v>75</v>
      </c>
      <c r="F119" s="254" t="s">
        <v>75</v>
      </c>
      <c r="G119" s="254" t="s">
        <v>75</v>
      </c>
      <c r="H119" s="254" t="s">
        <v>75</v>
      </c>
      <c r="I119" s="242">
        <f>8065.8*E10</f>
        <v>8382.7859399999998</v>
      </c>
      <c r="J119" s="254" t="s">
        <v>76</v>
      </c>
      <c r="K119" s="254" t="s">
        <v>76</v>
      </c>
      <c r="L119" s="242">
        <f>8065.8*E10</f>
        <v>8382.7859399999998</v>
      </c>
    </row>
    <row r="120" spans="2:12" ht="15.75" thickBot="1" x14ac:dyDescent="0.3">
      <c r="B120" s="30" t="s">
        <v>77</v>
      </c>
      <c r="C120" s="32"/>
      <c r="D120" s="250">
        <f>3000.75*E10</f>
        <v>3118.6794749999995</v>
      </c>
      <c r="E120" s="255">
        <v>1</v>
      </c>
      <c r="F120" s="242">
        <f>D120*E120</f>
        <v>3118.6794749999995</v>
      </c>
      <c r="G120" s="255">
        <v>0.5</v>
      </c>
      <c r="H120" s="252">
        <f>F120*G120</f>
        <v>1559.3397374999997</v>
      </c>
      <c r="I120" s="250">
        <f>SUM(D120+F120+H120)</f>
        <v>7796.6986874999984</v>
      </c>
      <c r="J120" s="256">
        <v>234.59</v>
      </c>
      <c r="K120" s="254" t="s">
        <v>76</v>
      </c>
      <c r="L120" s="242">
        <f>I120+J120</f>
        <v>8031.2886874999986</v>
      </c>
    </row>
    <row r="121" spans="2:12" ht="15.75" thickBot="1" x14ac:dyDescent="0.3">
      <c r="B121" s="30" t="s">
        <v>78</v>
      </c>
      <c r="C121" s="32"/>
      <c r="D121" s="242">
        <f>1428.63*E10</f>
        <v>1484.775159</v>
      </c>
      <c r="E121" s="255">
        <v>1</v>
      </c>
      <c r="F121" s="242">
        <f t="shared" ref="F121:F126" si="2">D121*E121</f>
        <v>1484.775159</v>
      </c>
      <c r="G121" s="255">
        <v>0.5</v>
      </c>
      <c r="H121" s="256">
        <f t="shared" ref="H121:H126" si="3">D121*G121</f>
        <v>742.38757950000002</v>
      </c>
      <c r="I121" s="242">
        <f t="shared" ref="I121:I126" si="4">D121+F121+H121</f>
        <v>3711.9378975</v>
      </c>
      <c r="J121" s="256">
        <v>234.59</v>
      </c>
      <c r="K121" s="256">
        <v>549.23</v>
      </c>
      <c r="L121" s="242">
        <f>I121+J121+K121</f>
        <v>4495.7578974999997</v>
      </c>
    </row>
    <row r="122" spans="2:12" ht="15.75" thickBot="1" x14ac:dyDescent="0.3">
      <c r="B122" s="30" t="s">
        <v>79</v>
      </c>
      <c r="C122" s="32"/>
      <c r="D122" s="242">
        <f>1039.03*E10</f>
        <v>1079.8638789999998</v>
      </c>
      <c r="E122" s="255">
        <v>0.9</v>
      </c>
      <c r="F122" s="242">
        <f t="shared" si="2"/>
        <v>971.87749109999982</v>
      </c>
      <c r="G122" s="255">
        <v>0.5</v>
      </c>
      <c r="H122" s="256">
        <f t="shared" si="3"/>
        <v>539.93193949999988</v>
      </c>
      <c r="I122" s="242">
        <f t="shared" si="4"/>
        <v>2591.6733095999994</v>
      </c>
      <c r="J122" s="256">
        <v>234.59</v>
      </c>
      <c r="K122" s="256">
        <v>549.23</v>
      </c>
      <c r="L122" s="242">
        <f t="shared" ref="L122:L123" si="5">I122+J122+K122</f>
        <v>3375.4933095999995</v>
      </c>
    </row>
    <row r="123" spans="2:12" ht="15.75" thickBot="1" x14ac:dyDescent="0.3">
      <c r="B123" s="30" t="s">
        <v>80</v>
      </c>
      <c r="C123" s="32"/>
      <c r="D123" s="242">
        <f>688.39*E10</f>
        <v>715.44372699999997</v>
      </c>
      <c r="E123" s="255">
        <v>0.8</v>
      </c>
      <c r="F123" s="242">
        <f t="shared" si="2"/>
        <v>572.35498159999997</v>
      </c>
      <c r="G123" s="255">
        <v>0.4</v>
      </c>
      <c r="H123" s="256">
        <f t="shared" si="3"/>
        <v>286.17749079999999</v>
      </c>
      <c r="I123" s="242">
        <f t="shared" si="4"/>
        <v>1573.9761993999998</v>
      </c>
      <c r="J123" s="256">
        <v>234.59</v>
      </c>
      <c r="K123" s="256">
        <v>549.23</v>
      </c>
      <c r="L123" s="242">
        <f t="shared" si="5"/>
        <v>2357.7961993999998</v>
      </c>
    </row>
    <row r="124" spans="2:12" ht="15.75" thickBot="1" x14ac:dyDescent="0.3">
      <c r="B124" s="30" t="s">
        <v>176</v>
      </c>
      <c r="C124" s="32"/>
      <c r="D124" s="242">
        <f>480.54*E10</f>
        <v>499.42522199999996</v>
      </c>
      <c r="E124" s="255">
        <v>0.7</v>
      </c>
      <c r="F124" s="242">
        <f t="shared" si="2"/>
        <v>349.59765539999995</v>
      </c>
      <c r="G124" s="255">
        <v>0.3</v>
      </c>
      <c r="H124" s="256">
        <f t="shared" si="3"/>
        <v>149.82756659999998</v>
      </c>
      <c r="I124" s="242">
        <v>998.86</v>
      </c>
      <c r="J124" s="256">
        <v>234.59</v>
      </c>
      <c r="K124" s="256">
        <v>549.23</v>
      </c>
      <c r="L124" s="242">
        <f>D144+J124+K124</f>
        <v>2195.8199999999997</v>
      </c>
    </row>
    <row r="125" spans="2:12" s="240" customFormat="1" ht="15.75" thickBot="1" x14ac:dyDescent="0.3">
      <c r="B125" s="248" t="s">
        <v>178</v>
      </c>
      <c r="C125" s="249"/>
      <c r="D125" s="250">
        <f>350.55*E10</f>
        <v>364.32661499999995</v>
      </c>
      <c r="E125" s="251">
        <v>0.6</v>
      </c>
      <c r="F125" s="250">
        <f t="shared" si="2"/>
        <v>218.59596899999997</v>
      </c>
      <c r="G125" s="251">
        <v>0.2</v>
      </c>
      <c r="H125" s="252">
        <f t="shared" si="3"/>
        <v>72.865322999999989</v>
      </c>
      <c r="I125" s="250">
        <f t="shared" si="4"/>
        <v>655.7879069999999</v>
      </c>
      <c r="J125" s="256">
        <v>234.59</v>
      </c>
      <c r="K125" s="256">
        <v>549.23</v>
      </c>
      <c r="L125" s="242">
        <f>D144+J125+K125</f>
        <v>2195.8199999999997</v>
      </c>
    </row>
    <row r="126" spans="2:12" ht="15.75" thickBot="1" x14ac:dyDescent="0.3">
      <c r="B126" s="30" t="s">
        <v>177</v>
      </c>
      <c r="C126" s="32"/>
      <c r="D126" s="250">
        <f>277.37*E10</f>
        <v>288.27064099999996</v>
      </c>
      <c r="E126" s="255">
        <v>0.6</v>
      </c>
      <c r="F126" s="242">
        <f t="shared" si="2"/>
        <v>172.96238459999998</v>
      </c>
      <c r="G126" s="255">
        <v>0.2</v>
      </c>
      <c r="H126" s="256">
        <f t="shared" si="3"/>
        <v>57.654128199999995</v>
      </c>
      <c r="I126" s="242">
        <f t="shared" si="4"/>
        <v>518.88715379999985</v>
      </c>
      <c r="J126" s="256">
        <v>234.59</v>
      </c>
      <c r="K126" s="256">
        <v>549.23</v>
      </c>
      <c r="L126" s="242">
        <f>D144+J126+K126</f>
        <v>2195.8199999999997</v>
      </c>
    </row>
    <row r="127" spans="2:12" ht="15.75" thickBot="1" x14ac:dyDescent="0.3">
      <c r="B127" s="30" t="s">
        <v>81</v>
      </c>
      <c r="C127" s="32"/>
      <c r="D127" s="242">
        <f>100.73*E10</f>
        <v>104.688689</v>
      </c>
      <c r="E127" s="255">
        <v>0.5</v>
      </c>
      <c r="F127" s="242" t="s">
        <v>75</v>
      </c>
      <c r="G127" s="254"/>
      <c r="H127" s="254"/>
      <c r="I127" s="254"/>
      <c r="J127" s="254"/>
      <c r="K127" s="254"/>
      <c r="L127" s="254"/>
    </row>
    <row r="128" spans="2:12" ht="15.75" thickBot="1" x14ac:dyDescent="0.3">
      <c r="B128" s="30" t="s">
        <v>82</v>
      </c>
      <c r="C128" s="32"/>
      <c r="D128" s="242">
        <f>77.38*E10</f>
        <v>80.421033999999992</v>
      </c>
      <c r="E128" s="255">
        <v>0.5</v>
      </c>
      <c r="F128" s="242" t="s">
        <v>75</v>
      </c>
      <c r="G128" s="254"/>
      <c r="H128" s="254"/>
      <c r="I128" s="254"/>
      <c r="J128" s="254"/>
      <c r="K128" s="254"/>
      <c r="L128" s="254"/>
    </row>
    <row r="129" spans="2:12" ht="15.75" thickBot="1" x14ac:dyDescent="0.3">
      <c r="B129" s="30" t="s">
        <v>83</v>
      </c>
      <c r="C129" s="32"/>
      <c r="D129" s="242">
        <f>67.47*E10</f>
        <v>70.121570999999989</v>
      </c>
      <c r="E129" s="255">
        <v>0.5</v>
      </c>
      <c r="F129" s="242" t="s">
        <v>75</v>
      </c>
      <c r="G129" s="254"/>
      <c r="H129" s="254"/>
      <c r="I129" s="254"/>
      <c r="J129" s="254"/>
      <c r="K129" s="254"/>
      <c r="L129" s="254"/>
    </row>
    <row r="130" spans="2:12" ht="15.75" thickBot="1" x14ac:dyDescent="0.3">
      <c r="B130" s="30" t="s">
        <v>84</v>
      </c>
      <c r="C130" s="32"/>
      <c r="D130" s="242">
        <f>58.15*E10</f>
        <v>60.435294999999989</v>
      </c>
      <c r="E130" s="255">
        <v>0.4</v>
      </c>
      <c r="F130" s="242" t="s">
        <v>75</v>
      </c>
      <c r="G130" s="254"/>
      <c r="H130" s="257"/>
      <c r="I130" s="257"/>
      <c r="J130" s="257"/>
      <c r="K130" s="257"/>
      <c r="L130" s="257"/>
    </row>
    <row r="132" spans="2:12" x14ac:dyDescent="0.25">
      <c r="B132" s="318" t="s">
        <v>85</v>
      </c>
      <c r="C132" s="318"/>
      <c r="D132" s="318"/>
      <c r="E132" s="318"/>
      <c r="F132" s="318"/>
      <c r="G132" s="318"/>
    </row>
    <row r="133" spans="2:12" x14ac:dyDescent="0.25">
      <c r="B133" s="318" t="s">
        <v>86</v>
      </c>
      <c r="C133" s="318"/>
      <c r="D133" s="318"/>
      <c r="E133" s="318"/>
      <c r="F133" s="318"/>
      <c r="G133" s="318"/>
    </row>
    <row r="134" spans="2:12" x14ac:dyDescent="0.25">
      <c r="B134" s="34" t="s">
        <v>87</v>
      </c>
      <c r="C134" s="34"/>
    </row>
    <row r="135" spans="2:12" x14ac:dyDescent="0.25">
      <c r="B135" s="34" t="s">
        <v>88</v>
      </c>
      <c r="C135" s="34"/>
    </row>
    <row r="136" spans="2:12" x14ac:dyDescent="0.25">
      <c r="B136" s="34" t="s">
        <v>89</v>
      </c>
      <c r="C136" s="34"/>
    </row>
    <row r="137" spans="2:12" x14ac:dyDescent="0.25">
      <c r="B137" s="34" t="s">
        <v>90</v>
      </c>
      <c r="C137" s="34"/>
    </row>
    <row r="138" spans="2:12" ht="15.75" x14ac:dyDescent="0.25">
      <c r="B138" s="35" t="s">
        <v>91</v>
      </c>
      <c r="C138" s="35"/>
      <c r="D138" s="247">
        <v>411.64</v>
      </c>
    </row>
    <row r="139" spans="2:12" ht="15.75" x14ac:dyDescent="0.25">
      <c r="B139" s="37">
        <v>-1800</v>
      </c>
      <c r="C139" s="38"/>
      <c r="D139" s="247">
        <v>344.56</v>
      </c>
    </row>
    <row r="140" spans="2:12" ht="15.75" x14ac:dyDescent="0.25">
      <c r="B140" s="39"/>
      <c r="C140" s="39"/>
      <c r="D140" s="236"/>
    </row>
    <row r="141" spans="2:12" ht="15.75" x14ac:dyDescent="0.25">
      <c r="B141" s="35" t="s">
        <v>92</v>
      </c>
      <c r="C141" s="35"/>
      <c r="D141" s="235">
        <v>68.58</v>
      </c>
    </row>
    <row r="142" spans="2:12" ht="15.75" x14ac:dyDescent="0.25">
      <c r="B142" s="38" t="s">
        <v>93</v>
      </c>
      <c r="C142" s="38"/>
      <c r="D142" s="235">
        <v>344.56</v>
      </c>
    </row>
    <row r="143" spans="2:12" ht="15.75" x14ac:dyDescent="0.25">
      <c r="B143" s="39"/>
      <c r="C143" s="39"/>
    </row>
    <row r="144" spans="2:12" ht="18" x14ac:dyDescent="0.25">
      <c r="B144" s="237" t="s">
        <v>94</v>
      </c>
      <c r="C144" s="238"/>
      <c r="D144" s="239">
        <v>1412</v>
      </c>
    </row>
    <row r="145" spans="2:4" ht="18" x14ac:dyDescent="0.25">
      <c r="B145" s="40"/>
      <c r="D145" s="36"/>
    </row>
    <row r="146" spans="2:4" ht="18" x14ac:dyDescent="0.25">
      <c r="B146" s="40"/>
      <c r="D146" s="36"/>
    </row>
    <row r="147" spans="2:4" ht="18" x14ac:dyDescent="0.25">
      <c r="B147" s="40"/>
      <c r="D147" s="36"/>
    </row>
    <row r="148" spans="2:4" ht="18" x14ac:dyDescent="0.25">
      <c r="B148" s="40"/>
      <c r="D148" s="36"/>
    </row>
    <row r="149" spans="2:4" ht="18" x14ac:dyDescent="0.25">
      <c r="B149" s="40"/>
      <c r="D149" s="36"/>
    </row>
    <row r="150" spans="2:4" ht="18" x14ac:dyDescent="0.25">
      <c r="B150" s="40"/>
      <c r="D150" s="36"/>
    </row>
    <row r="152" spans="2:4" ht="15.75" thickBot="1" x14ac:dyDescent="0.3"/>
    <row r="153" spans="2:4" ht="15.75" thickBot="1" x14ac:dyDescent="0.3">
      <c r="B153" s="25" t="s">
        <v>95</v>
      </c>
      <c r="C153" s="153"/>
      <c r="D153" s="153" t="s">
        <v>25</v>
      </c>
    </row>
    <row r="154" spans="2:4" x14ac:dyDescent="0.25">
      <c r="B154" s="206" t="s">
        <v>96</v>
      </c>
      <c r="C154" s="207"/>
      <c r="D154" s="208">
        <f>33963.01*E10</f>
        <v>35297.756292999999</v>
      </c>
    </row>
    <row r="155" spans="2:4" x14ac:dyDescent="0.25">
      <c r="B155" s="209" t="s">
        <v>97</v>
      </c>
      <c r="C155" s="205"/>
      <c r="D155" s="210">
        <f>28992.81*E10</f>
        <v>30132.227432999996</v>
      </c>
    </row>
    <row r="156" spans="2:4" x14ac:dyDescent="0.25">
      <c r="B156" s="209" t="s">
        <v>98</v>
      </c>
      <c r="C156" s="205"/>
      <c r="D156" s="210">
        <f>18669.47*E10</f>
        <v>19403.180171</v>
      </c>
    </row>
    <row r="157" spans="2:4" ht="15.75" thickBot="1" x14ac:dyDescent="0.3">
      <c r="B157" s="211" t="s">
        <v>99</v>
      </c>
      <c r="C157" s="212"/>
      <c r="D157" s="213">
        <f>18669.47*E10</f>
        <v>19403.180171</v>
      </c>
    </row>
    <row r="159" spans="2:4" ht="15.75" thickBot="1" x14ac:dyDescent="0.3"/>
    <row r="160" spans="2:4" ht="16.5" thickBot="1" x14ac:dyDescent="0.3">
      <c r="B160" s="315" t="s">
        <v>100</v>
      </c>
      <c r="C160" s="316"/>
      <c r="D160" s="317"/>
    </row>
    <row r="161" spans="2:7" ht="16.5" thickBot="1" x14ac:dyDescent="0.3">
      <c r="B161" s="24" t="s">
        <v>101</v>
      </c>
      <c r="C161" s="167"/>
      <c r="D161" s="167" t="s">
        <v>25</v>
      </c>
    </row>
    <row r="162" spans="2:7" ht="15.75" x14ac:dyDescent="0.25">
      <c r="B162" s="176" t="s">
        <v>102</v>
      </c>
      <c r="C162" s="177"/>
      <c r="D162" s="215">
        <f>2366.42*E10</f>
        <v>2459.420306</v>
      </c>
    </row>
    <row r="163" spans="2:7" ht="16.5" thickBot="1" x14ac:dyDescent="0.3">
      <c r="B163" s="181" t="s">
        <v>103</v>
      </c>
      <c r="C163" s="182"/>
      <c r="D163" s="216">
        <f>1027.08*E10</f>
        <v>1067.4442439999998</v>
      </c>
    </row>
    <row r="165" spans="2:7" ht="15.75" thickBot="1" x14ac:dyDescent="0.3"/>
    <row r="166" spans="2:7" ht="16.5" thickBot="1" x14ac:dyDescent="0.3">
      <c r="B166" s="41" t="s">
        <v>104</v>
      </c>
      <c r="C166" s="8"/>
      <c r="D166" s="8" t="s">
        <v>25</v>
      </c>
    </row>
    <row r="167" spans="2:7" ht="16.5" thickBot="1" x14ac:dyDescent="0.3">
      <c r="B167" s="42" t="s">
        <v>105</v>
      </c>
      <c r="C167" s="43"/>
      <c r="D167" s="243">
        <f>225.72*E10</f>
        <v>234.59079599999998</v>
      </c>
    </row>
    <row r="168" spans="2:7" ht="16.5" thickBot="1" x14ac:dyDescent="0.3">
      <c r="B168" s="42" t="s">
        <v>106</v>
      </c>
      <c r="C168" s="43"/>
      <c r="D168" s="243">
        <f>528.46*E10</f>
        <v>549.228478</v>
      </c>
    </row>
    <row r="169" spans="2:7" ht="16.5" thickBot="1" x14ac:dyDescent="0.3">
      <c r="B169" s="42" t="s">
        <v>107</v>
      </c>
      <c r="C169" s="43"/>
      <c r="D169" s="243">
        <v>10</v>
      </c>
    </row>
    <row r="170" spans="2:7" ht="15.75" x14ac:dyDescent="0.25">
      <c r="B170" s="44"/>
      <c r="C170" s="44"/>
      <c r="D170" s="45"/>
    </row>
    <row r="172" spans="2:7" ht="15.75" thickBot="1" x14ac:dyDescent="0.3">
      <c r="G172" s="70"/>
    </row>
    <row r="173" spans="2:7" ht="16.5" thickBot="1" x14ac:dyDescent="0.3">
      <c r="B173" s="324" t="s">
        <v>108</v>
      </c>
      <c r="C173" s="325"/>
      <c r="D173" s="325"/>
      <c r="E173" s="65"/>
      <c r="F173" s="66"/>
      <c r="G173" s="70"/>
    </row>
    <row r="174" spans="2:7" ht="16.5" thickBot="1" x14ac:dyDescent="0.3">
      <c r="B174" s="67" t="s">
        <v>109</v>
      </c>
      <c r="C174" s="10"/>
      <c r="D174" s="9" t="s">
        <v>25</v>
      </c>
      <c r="E174" s="68" t="s">
        <v>137</v>
      </c>
      <c r="F174" s="69" t="s">
        <v>138</v>
      </c>
      <c r="G174" s="71"/>
    </row>
    <row r="175" spans="2:7" ht="16.5" thickBot="1" x14ac:dyDescent="0.3">
      <c r="B175" s="17" t="s">
        <v>110</v>
      </c>
      <c r="C175" s="14"/>
      <c r="D175" s="245">
        <v>41650.92</v>
      </c>
      <c r="E175" s="82">
        <v>44008.52</v>
      </c>
      <c r="F175" s="83">
        <v>46366.19</v>
      </c>
      <c r="G175" s="70"/>
    </row>
    <row r="176" spans="2:7" ht="28.5" thickBot="1" x14ac:dyDescent="0.3">
      <c r="B176" s="17" t="s">
        <v>111</v>
      </c>
      <c r="C176" s="14"/>
      <c r="D176" s="244">
        <f>33963.01*E10</f>
        <v>35297.756292999999</v>
      </c>
      <c r="G176" s="70"/>
    </row>
    <row r="178" spans="2:4" ht="15.75" thickBot="1" x14ac:dyDescent="0.3"/>
    <row r="179" spans="2:4" ht="16.5" thickBot="1" x14ac:dyDescent="0.3">
      <c r="B179" s="315" t="s">
        <v>112</v>
      </c>
      <c r="C179" s="316"/>
      <c r="D179" s="317"/>
    </row>
    <row r="180" spans="2:4" ht="16.5" thickBot="1" x14ac:dyDescent="0.3">
      <c r="B180" s="22"/>
      <c r="C180" s="23"/>
      <c r="D180" s="46">
        <v>45292</v>
      </c>
    </row>
    <row r="181" spans="2:4" ht="16.5" thickBot="1" x14ac:dyDescent="0.3">
      <c r="B181" s="17" t="s">
        <v>25</v>
      </c>
      <c r="C181" s="14"/>
      <c r="D181" s="214">
        <v>1412</v>
      </c>
    </row>
    <row r="182" spans="2:4" ht="16.5" thickBot="1" x14ac:dyDescent="0.3">
      <c r="B182" s="17"/>
      <c r="C182" s="14"/>
      <c r="D182" s="47"/>
    </row>
    <row r="183" spans="2:4" ht="16.5" thickBot="1" x14ac:dyDescent="0.3">
      <c r="B183" s="17"/>
      <c r="C183" s="14"/>
      <c r="D183" s="13"/>
    </row>
    <row r="193" spans="2:8" ht="15.75" x14ac:dyDescent="0.25">
      <c r="B193" s="37"/>
      <c r="C193" s="37"/>
    </row>
    <row r="194" spans="2:8" ht="18.75" x14ac:dyDescent="0.25">
      <c r="D194" s="48" t="s">
        <v>113</v>
      </c>
    </row>
    <row r="195" spans="2:8" ht="18.75" x14ac:dyDescent="0.25">
      <c r="D195" s="49" t="s">
        <v>114</v>
      </c>
    </row>
    <row r="197" spans="2:8" ht="15.75" thickBot="1" x14ac:dyDescent="0.3"/>
    <row r="198" spans="2:8" ht="48" thickBot="1" x14ac:dyDescent="0.3">
      <c r="B198" s="41" t="s">
        <v>23</v>
      </c>
      <c r="C198" s="8"/>
      <c r="D198" s="8" t="s">
        <v>115</v>
      </c>
      <c r="E198" s="8" t="s">
        <v>116</v>
      </c>
      <c r="F198" s="8" t="s">
        <v>117</v>
      </c>
      <c r="G198" s="8" t="s">
        <v>118</v>
      </c>
      <c r="H198" s="8" t="s">
        <v>119</v>
      </c>
    </row>
    <row r="199" spans="2:8" ht="16.5" thickBot="1" x14ac:dyDescent="0.3">
      <c r="B199" s="42" t="s">
        <v>120</v>
      </c>
      <c r="C199" s="43"/>
      <c r="D199" s="23" t="s">
        <v>76</v>
      </c>
      <c r="E199" s="50">
        <v>0.1</v>
      </c>
      <c r="F199" s="50">
        <v>0.15</v>
      </c>
      <c r="G199" s="50">
        <v>0.2</v>
      </c>
      <c r="H199" s="50">
        <v>0.25</v>
      </c>
    </row>
    <row r="200" spans="2:8" ht="16.5" thickBot="1" x14ac:dyDescent="0.3">
      <c r="B200" s="42" t="s">
        <v>121</v>
      </c>
      <c r="C200" s="43"/>
      <c r="D200" s="23" t="s">
        <v>76</v>
      </c>
      <c r="E200" s="50">
        <v>0.1</v>
      </c>
      <c r="F200" s="50">
        <v>0.15</v>
      </c>
      <c r="G200" s="23" t="s">
        <v>76</v>
      </c>
      <c r="H200" s="23" t="s">
        <v>76</v>
      </c>
    </row>
    <row r="201" spans="2:8" ht="16.5" thickBot="1" x14ac:dyDescent="0.3">
      <c r="B201" s="42" t="s">
        <v>122</v>
      </c>
      <c r="C201" s="43"/>
      <c r="D201" s="50">
        <v>0.05</v>
      </c>
      <c r="E201" s="50">
        <v>0.1</v>
      </c>
      <c r="F201" s="23" t="s">
        <v>76</v>
      </c>
      <c r="G201" s="23" t="s">
        <v>76</v>
      </c>
      <c r="H201" s="23" t="s">
        <v>76</v>
      </c>
    </row>
    <row r="202" spans="2:8" ht="15.75" x14ac:dyDescent="0.25">
      <c r="B202" s="44"/>
      <c r="C202" s="44"/>
      <c r="D202" s="72"/>
      <c r="E202" s="72"/>
      <c r="F202" s="73"/>
      <c r="G202" s="73"/>
      <c r="H202" s="73"/>
    </row>
    <row r="203" spans="2:8" ht="16.5" thickBot="1" x14ac:dyDescent="0.3">
      <c r="B203" s="44"/>
      <c r="C203" s="44"/>
      <c r="D203" s="72"/>
      <c r="E203" s="72"/>
      <c r="F203" s="73"/>
      <c r="G203" s="73"/>
      <c r="H203" s="73"/>
    </row>
    <row r="204" spans="2:8" ht="32.25" thickBot="1" x14ac:dyDescent="0.3">
      <c r="B204" s="41" t="s">
        <v>23</v>
      </c>
      <c r="C204" s="8"/>
      <c r="D204" s="8" t="s">
        <v>140</v>
      </c>
      <c r="E204" s="76" t="s">
        <v>141</v>
      </c>
      <c r="F204" s="73"/>
      <c r="G204" s="73"/>
      <c r="H204" s="73"/>
    </row>
    <row r="205" spans="2:8" ht="47.25" thickBot="1" x14ac:dyDescent="0.3">
      <c r="B205" s="42" t="s">
        <v>124</v>
      </c>
      <c r="C205" s="43"/>
      <c r="D205" s="14">
        <v>16</v>
      </c>
      <c r="E205" s="74">
        <v>1.2</v>
      </c>
      <c r="F205" s="73"/>
      <c r="G205" s="73"/>
      <c r="H205" s="73"/>
    </row>
    <row r="206" spans="2:8" ht="47.25" thickBot="1" x14ac:dyDescent="0.3">
      <c r="B206" s="42" t="s">
        <v>142</v>
      </c>
      <c r="C206" s="43"/>
      <c r="D206" s="14">
        <v>44</v>
      </c>
      <c r="E206" s="75">
        <v>0.5</v>
      </c>
      <c r="F206" s="73"/>
      <c r="G206" s="73"/>
      <c r="H206" s="73"/>
    </row>
    <row r="209" spans="2:9" ht="15.75" thickBot="1" x14ac:dyDescent="0.3"/>
    <row r="210" spans="2:9" ht="16.5" thickBot="1" x14ac:dyDescent="0.3">
      <c r="B210" s="41" t="s">
        <v>23</v>
      </c>
      <c r="C210" s="8"/>
      <c r="D210" s="8" t="s">
        <v>25</v>
      </c>
    </row>
    <row r="211" spans="2:9" ht="31.5" thickBot="1" x14ac:dyDescent="0.3">
      <c r="B211" s="42" t="s">
        <v>123</v>
      </c>
      <c r="C211" s="43"/>
      <c r="D211" s="191">
        <f>2974.97*E10</f>
        <v>3091.8863209999995</v>
      </c>
      <c r="F211" s="44"/>
    </row>
    <row r="212" spans="2:9" ht="47.25" thickBot="1" x14ac:dyDescent="0.3">
      <c r="B212" s="42" t="s">
        <v>124</v>
      </c>
      <c r="C212" s="43"/>
      <c r="D212" s="191">
        <f>7146.67*E10</f>
        <v>7427.5341309999994</v>
      </c>
    </row>
    <row r="213" spans="2:9" ht="16.5" thickBot="1" x14ac:dyDescent="0.3">
      <c r="B213" s="22" t="s">
        <v>76</v>
      </c>
      <c r="C213" s="23"/>
      <c r="D213" s="23" t="s">
        <v>76</v>
      </c>
    </row>
    <row r="222" spans="2:9" x14ac:dyDescent="0.25">
      <c r="B222" s="345"/>
      <c r="C222" s="345"/>
      <c r="D222" s="345"/>
      <c r="E222" s="345"/>
      <c r="F222" s="345"/>
      <c r="G222" s="345"/>
      <c r="H222" s="345"/>
      <c r="I222" s="345"/>
    </row>
    <row r="223" spans="2:9" x14ac:dyDescent="0.25">
      <c r="B223" s="341"/>
      <c r="C223" s="341"/>
      <c r="D223" s="341"/>
      <c r="E223" s="341"/>
      <c r="F223" s="341"/>
      <c r="G223" s="341"/>
      <c r="H223" s="341"/>
      <c r="I223" s="341"/>
    </row>
    <row r="224" spans="2:9" ht="15.75" thickBot="1" x14ac:dyDescent="0.3"/>
    <row r="225" spans="2:5" ht="16.5" thickBot="1" x14ac:dyDescent="0.3">
      <c r="B225" s="342" t="s">
        <v>110</v>
      </c>
      <c r="C225" s="343"/>
      <c r="D225" s="343"/>
      <c r="E225" s="344"/>
    </row>
    <row r="226" spans="2:5" ht="16.5" thickBot="1" x14ac:dyDescent="0.3">
      <c r="B226" s="17" t="s">
        <v>23</v>
      </c>
      <c r="C226" s="14"/>
      <c r="D226" s="14" t="s">
        <v>125</v>
      </c>
      <c r="E226" s="14" t="s">
        <v>25</v>
      </c>
    </row>
    <row r="227" spans="2:5" ht="16.5" thickBot="1" x14ac:dyDescent="0.3">
      <c r="B227" s="17" t="s">
        <v>126</v>
      </c>
      <c r="C227" s="14"/>
      <c r="D227" s="14" t="s">
        <v>10</v>
      </c>
      <c r="E227" s="191">
        <f>22028.98*E10</f>
        <v>22894.718913999997</v>
      </c>
    </row>
    <row r="228" spans="2:5" ht="16.5" thickBot="1" x14ac:dyDescent="0.3">
      <c r="B228" s="17" t="s">
        <v>126</v>
      </c>
      <c r="C228" s="14"/>
      <c r="D228" s="14" t="s">
        <v>9</v>
      </c>
      <c r="E228" s="191">
        <f>19704.58*E10</f>
        <v>20478.969993999999</v>
      </c>
    </row>
    <row r="229" spans="2:5" ht="16.5" thickBot="1" x14ac:dyDescent="0.3">
      <c r="B229" s="17" t="s">
        <v>126</v>
      </c>
      <c r="C229" s="14"/>
      <c r="D229" s="14" t="s">
        <v>8</v>
      </c>
      <c r="E229" s="191">
        <f>17306.12*E10</f>
        <v>17986.250515999996</v>
      </c>
    </row>
    <row r="232" spans="2:5" ht="15.75" thickBot="1" x14ac:dyDescent="0.3"/>
    <row r="233" spans="2:5" ht="16.5" thickBot="1" x14ac:dyDescent="0.3">
      <c r="B233" s="52" t="s">
        <v>127</v>
      </c>
      <c r="C233" s="51"/>
      <c r="D233" s="51" t="s">
        <v>128</v>
      </c>
    </row>
    <row r="234" spans="2:5" ht="16.5" thickBot="1" x14ac:dyDescent="0.3">
      <c r="B234" s="17" t="s">
        <v>129</v>
      </c>
      <c r="C234" s="14"/>
      <c r="D234" s="191">
        <f>17306.12*E10</f>
        <v>17986.250515999996</v>
      </c>
    </row>
    <row r="235" spans="2:5" ht="16.5" thickBot="1" x14ac:dyDescent="0.3">
      <c r="B235" s="17" t="s">
        <v>130</v>
      </c>
      <c r="C235" s="14"/>
      <c r="D235" s="191">
        <f>18505.35*E10</f>
        <v>19232.610254999996</v>
      </c>
    </row>
    <row r="236" spans="2:5" ht="16.5" thickBot="1" x14ac:dyDescent="0.3">
      <c r="B236" s="53" t="s">
        <v>131</v>
      </c>
      <c r="C236" s="54"/>
      <c r="D236" s="191">
        <f>19704.58*E10</f>
        <v>20478.969993999999</v>
      </c>
    </row>
    <row r="237" spans="2:5" ht="16.5" thickBot="1" x14ac:dyDescent="0.3">
      <c r="B237" s="53" t="s">
        <v>132</v>
      </c>
      <c r="C237" s="54"/>
      <c r="D237" s="191">
        <f>20866.79*E10</f>
        <v>21686.854846999999</v>
      </c>
    </row>
    <row r="238" spans="2:5" ht="16.5" thickBot="1" x14ac:dyDescent="0.3">
      <c r="B238" s="17" t="s">
        <v>133</v>
      </c>
      <c r="C238" s="14"/>
      <c r="D238" s="191">
        <f>22028.98*E10</f>
        <v>22894.718913999997</v>
      </c>
    </row>
    <row r="239" spans="2:5" ht="15.75" x14ac:dyDescent="0.25">
      <c r="B239" s="20"/>
      <c r="C239" s="20"/>
      <c r="D239" s="55"/>
    </row>
    <row r="240" spans="2:5" ht="6" customHeight="1" x14ac:dyDescent="0.25">
      <c r="B240" s="20"/>
      <c r="C240" s="20"/>
      <c r="D240" s="55"/>
    </row>
    <row r="242" spans="2:9" x14ac:dyDescent="0.25">
      <c r="B242" s="345"/>
      <c r="C242" s="345"/>
      <c r="D242" s="345"/>
      <c r="E242" s="345"/>
      <c r="F242" s="345"/>
      <c r="G242" s="345"/>
      <c r="H242" s="345"/>
      <c r="I242" s="345"/>
    </row>
    <row r="243" spans="2:9" ht="15.75" thickBot="1" x14ac:dyDescent="0.3">
      <c r="B243" s="341"/>
      <c r="C243" s="341"/>
      <c r="D243" s="341"/>
      <c r="E243" s="341"/>
      <c r="F243" s="341"/>
      <c r="G243" s="341"/>
      <c r="H243" s="341"/>
      <c r="I243" s="341"/>
    </row>
    <row r="244" spans="2:9" ht="34.5" customHeight="1" thickBot="1" x14ac:dyDescent="0.3">
      <c r="B244" s="85" t="s">
        <v>150</v>
      </c>
      <c r="C244" s="86"/>
      <c r="D244" s="86"/>
      <c r="E244" s="86"/>
      <c r="F244" s="87"/>
    </row>
    <row r="245" spans="2:9" ht="19.5" thickBot="1" x14ac:dyDescent="0.3">
      <c r="B245" s="27"/>
      <c r="C245" s="27"/>
      <c r="D245" s="321" t="s">
        <v>134</v>
      </c>
      <c r="E245" s="56" t="s">
        <v>8</v>
      </c>
      <c r="F245" s="199">
        <f>12656.27*E10</f>
        <v>13153.661410999999</v>
      </c>
    </row>
    <row r="246" spans="2:9" ht="19.5" thickBot="1" x14ac:dyDescent="0.3">
      <c r="B246" s="29"/>
      <c r="C246" s="29"/>
      <c r="D246" s="322"/>
      <c r="E246" s="32" t="s">
        <v>9</v>
      </c>
      <c r="F246" s="199">
        <f>12215.83*E10</f>
        <v>12695.912118999999</v>
      </c>
    </row>
    <row r="247" spans="2:9" ht="19.5" thickBot="1" x14ac:dyDescent="0.3">
      <c r="B247" s="57"/>
      <c r="C247" s="57"/>
      <c r="D247" s="323"/>
      <c r="E247" s="32" t="s">
        <v>10</v>
      </c>
      <c r="F247" s="199">
        <f>11777.93*E10</f>
        <v>12240.802648999999</v>
      </c>
    </row>
    <row r="248" spans="2:9" ht="19.5" thickBot="1" x14ac:dyDescent="0.3">
      <c r="B248" s="58"/>
      <c r="C248" s="58"/>
      <c r="D248" s="321" t="s">
        <v>11</v>
      </c>
      <c r="E248" s="32" t="s">
        <v>8</v>
      </c>
      <c r="F248" s="199">
        <f>11340.02*E10</f>
        <v>11785.682785999999</v>
      </c>
    </row>
    <row r="249" spans="2:9" ht="19.5" thickBot="1" x14ac:dyDescent="0.3">
      <c r="B249" s="57"/>
      <c r="C249" s="57"/>
      <c r="D249" s="322"/>
      <c r="E249" s="32" t="s">
        <v>9</v>
      </c>
      <c r="F249" s="199">
        <f>10902.11*E10</f>
        <v>11330.562923</v>
      </c>
    </row>
    <row r="250" spans="2:9" ht="42.75" thickBot="1" x14ac:dyDescent="0.3">
      <c r="B250" s="59" t="s">
        <v>135</v>
      </c>
      <c r="C250" s="59"/>
      <c r="D250" s="323"/>
      <c r="E250" s="32" t="s">
        <v>10</v>
      </c>
      <c r="F250" s="246">
        <v>10901.75</v>
      </c>
    </row>
    <row r="251" spans="2:9" ht="21.75" thickBot="1" x14ac:dyDescent="0.3">
      <c r="B251" s="59" t="s">
        <v>136</v>
      </c>
      <c r="C251" s="59"/>
      <c r="D251" s="321" t="s">
        <v>12</v>
      </c>
      <c r="E251" s="32" t="s">
        <v>8</v>
      </c>
      <c r="F251" s="199">
        <f>10026.29*E10</f>
        <v>10420.323197</v>
      </c>
    </row>
    <row r="252" spans="2:9" ht="19.5" thickBot="1" x14ac:dyDescent="0.3">
      <c r="B252" s="60"/>
      <c r="C252" s="60"/>
      <c r="D252" s="322"/>
      <c r="E252" s="32" t="s">
        <v>9</v>
      </c>
      <c r="F252" s="199">
        <f>9588.39*E10</f>
        <v>9965.2137269999985</v>
      </c>
    </row>
    <row r="253" spans="2:9" ht="19.5" thickBot="1" x14ac:dyDescent="0.3">
      <c r="B253" s="60"/>
      <c r="C253" s="60"/>
      <c r="D253" s="323"/>
      <c r="E253" s="32" t="s">
        <v>10</v>
      </c>
      <c r="F253" s="199">
        <f>9150.48*E10</f>
        <v>9510.0938639999986</v>
      </c>
    </row>
    <row r="254" spans="2:9" ht="19.5" thickBot="1" x14ac:dyDescent="0.3">
      <c r="B254" s="60"/>
      <c r="C254" s="61"/>
      <c r="D254" s="28"/>
      <c r="E254" s="32" t="s">
        <v>35</v>
      </c>
      <c r="F254" s="199">
        <f>8712.57*E10</f>
        <v>9054.9740009999987</v>
      </c>
    </row>
    <row r="255" spans="2:9" ht="19.5" thickBot="1" x14ac:dyDescent="0.3">
      <c r="B255" s="60"/>
      <c r="C255" s="61"/>
      <c r="D255" s="28" t="s">
        <v>13</v>
      </c>
      <c r="E255" s="32" t="s">
        <v>7</v>
      </c>
      <c r="F255" s="199">
        <f>8274.66*E10</f>
        <v>8599.8541379999988</v>
      </c>
    </row>
    <row r="256" spans="2:9" ht="19.5" thickBot="1" x14ac:dyDescent="0.3">
      <c r="B256" s="60"/>
      <c r="C256" s="61"/>
      <c r="D256" s="61"/>
      <c r="E256" s="32" t="s">
        <v>8</v>
      </c>
      <c r="F256" s="199">
        <f>7836.75*E10</f>
        <v>8144.7342749999989</v>
      </c>
    </row>
    <row r="257" spans="2:9" ht="19.5" thickBot="1" x14ac:dyDescent="0.3">
      <c r="B257" s="60"/>
      <c r="C257" s="61"/>
      <c r="D257" s="61"/>
      <c r="E257" s="32" t="s">
        <v>9</v>
      </c>
      <c r="F257" s="199">
        <f>7398.86*E10</f>
        <v>7689.635197999999</v>
      </c>
    </row>
    <row r="258" spans="2:9" ht="19.5" thickBot="1" x14ac:dyDescent="0.3">
      <c r="B258" s="62"/>
      <c r="C258" s="63"/>
      <c r="D258" s="63"/>
      <c r="E258" s="32" t="s">
        <v>10</v>
      </c>
      <c r="F258" s="199">
        <f>6960.95*E10</f>
        <v>7234.5153349999991</v>
      </c>
    </row>
    <row r="263" spans="2:9" ht="18.75" x14ac:dyDescent="0.25">
      <c r="B263" s="77"/>
      <c r="C263" s="77"/>
      <c r="D263" s="77"/>
      <c r="E263" s="78"/>
      <c r="F263" s="79"/>
    </row>
    <row r="264" spans="2:9" ht="18.75" x14ac:dyDescent="0.25">
      <c r="B264" s="77"/>
      <c r="C264" s="77"/>
      <c r="D264" s="77"/>
      <c r="E264" s="78"/>
      <c r="F264" s="79"/>
    </row>
    <row r="265" spans="2:9" ht="15" customHeight="1" thickBot="1" x14ac:dyDescent="0.3">
      <c r="F265" s="48"/>
      <c r="I265" s="116"/>
    </row>
    <row r="266" spans="2:9" ht="19.5" hidden="1" thickBot="1" x14ac:dyDescent="0.3">
      <c r="F266" s="49"/>
      <c r="I266" s="116"/>
    </row>
    <row r="267" spans="2:9" ht="34.5" customHeight="1" thickBot="1" x14ac:dyDescent="0.3">
      <c r="B267" s="363" t="s">
        <v>149</v>
      </c>
      <c r="C267" s="364"/>
      <c r="D267" s="364"/>
      <c r="E267" s="364"/>
      <c r="F267" s="364"/>
      <c r="G267" s="123"/>
      <c r="H267" s="124"/>
      <c r="I267" s="116"/>
    </row>
    <row r="268" spans="2:9" ht="38.25" customHeight="1" thickBot="1" x14ac:dyDescent="0.3">
      <c r="B268" s="365" t="s">
        <v>143</v>
      </c>
      <c r="C268" s="366"/>
      <c r="D268" s="366"/>
      <c r="E268" s="366"/>
      <c r="F268" s="366"/>
      <c r="G268" s="125"/>
      <c r="H268" s="126"/>
      <c r="I268" s="116"/>
    </row>
    <row r="269" spans="2:9" ht="15.75" thickBot="1" x14ac:dyDescent="0.3">
      <c r="B269" s="258" t="s">
        <v>61</v>
      </c>
      <c r="C269" s="259" t="s">
        <v>144</v>
      </c>
      <c r="D269" s="259" t="s">
        <v>168</v>
      </c>
      <c r="E269" s="259" t="s">
        <v>64</v>
      </c>
      <c r="F269" s="259" t="s">
        <v>167</v>
      </c>
      <c r="G269" s="127" t="s">
        <v>65</v>
      </c>
      <c r="H269" s="129" t="s">
        <v>145</v>
      </c>
      <c r="I269" s="128"/>
    </row>
    <row r="270" spans="2:9" ht="18.75" x14ac:dyDescent="0.25">
      <c r="B270" s="260" t="s">
        <v>169</v>
      </c>
      <c r="C270" s="261">
        <v>6750</v>
      </c>
      <c r="D270" s="262">
        <v>1</v>
      </c>
      <c r="E270" s="263">
        <f>7053.75*E10</f>
        <v>7330.9623749999992</v>
      </c>
      <c r="F270" s="262">
        <v>0</v>
      </c>
      <c r="G270" s="200">
        <v>0</v>
      </c>
      <c r="H270" s="130">
        <f>SUM(E270*2)</f>
        <v>14661.924749999998</v>
      </c>
      <c r="I270" s="117"/>
    </row>
    <row r="271" spans="2:9" ht="18.75" x14ac:dyDescent="0.25">
      <c r="B271" s="264" t="s">
        <v>170</v>
      </c>
      <c r="C271" s="265">
        <v>4569.2299999999996</v>
      </c>
      <c r="D271" s="266">
        <v>1</v>
      </c>
      <c r="E271" s="267">
        <f>4774.84*E10</f>
        <v>4962.4912119999999</v>
      </c>
      <c r="F271" s="268">
        <v>0.5</v>
      </c>
      <c r="G271" s="201">
        <f>2387.43*E10</f>
        <v>2481.2559989999995</v>
      </c>
      <c r="H271" s="130">
        <f>SUM(E271*2)+G271</f>
        <v>12406.238422999999</v>
      </c>
      <c r="I271" s="117"/>
    </row>
    <row r="272" spans="2:9" ht="18.75" x14ac:dyDescent="0.25">
      <c r="B272" s="264" t="s">
        <v>171</v>
      </c>
      <c r="C272" s="265">
        <v>3738.67</v>
      </c>
      <c r="D272" s="266">
        <v>1</v>
      </c>
      <c r="E272" s="267">
        <f>3906.91*E10</f>
        <v>4060.4515629999996</v>
      </c>
      <c r="F272" s="269">
        <v>0.5</v>
      </c>
      <c r="G272" s="201">
        <f>1953.46*E10</f>
        <v>2030.2309779999998</v>
      </c>
      <c r="H272" s="130">
        <f>SUM(E272*2)+G272</f>
        <v>10151.134103999999</v>
      </c>
      <c r="I272" s="117"/>
    </row>
    <row r="273" spans="2:9" ht="18.75" x14ac:dyDescent="0.25">
      <c r="B273" s="264" t="s">
        <v>172</v>
      </c>
      <c r="C273" s="265">
        <v>2907.69</v>
      </c>
      <c r="D273" s="266">
        <v>1</v>
      </c>
      <c r="E273" s="267">
        <f>3038.54*E10</f>
        <v>3157.9546219999997</v>
      </c>
      <c r="F273" s="269">
        <v>0.5</v>
      </c>
      <c r="G273" s="201">
        <f>1519.27*E10</f>
        <v>1578.9773109999999</v>
      </c>
      <c r="H273" s="130">
        <f>SUM(E273*2)+G273</f>
        <v>7894.8865549999991</v>
      </c>
      <c r="I273" s="117"/>
    </row>
    <row r="274" spans="2:9" ht="19.5" thickBot="1" x14ac:dyDescent="0.3">
      <c r="B274" s="270" t="s">
        <v>173</v>
      </c>
      <c r="C274" s="271">
        <v>1661.53</v>
      </c>
      <c r="D274" s="272">
        <v>1</v>
      </c>
      <c r="E274" s="273">
        <f>1736.3*E10</f>
        <v>1804.5365899999997</v>
      </c>
      <c r="F274" s="274">
        <v>0.5</v>
      </c>
      <c r="G274" s="202">
        <f>868.15*E10</f>
        <v>902.26829499999985</v>
      </c>
      <c r="H274" s="131">
        <f>SUM(E274*2)+G274</f>
        <v>4511.3414749999993</v>
      </c>
      <c r="I274" s="117"/>
    </row>
    <row r="275" spans="2:9" ht="15.75" thickBot="1" x14ac:dyDescent="0.3">
      <c r="B275" s="275"/>
      <c r="C275" s="275"/>
      <c r="D275" s="275"/>
      <c r="E275" s="275"/>
      <c r="F275" s="275"/>
      <c r="I275" s="116"/>
    </row>
    <row r="276" spans="2:9" ht="16.5" thickBot="1" x14ac:dyDescent="0.3">
      <c r="B276" s="367" t="s">
        <v>149</v>
      </c>
      <c r="C276" s="368"/>
      <c r="D276" s="368"/>
      <c r="E276" s="368"/>
      <c r="F276" s="368"/>
      <c r="G276" s="123"/>
      <c r="H276" s="124"/>
      <c r="I276" s="116"/>
    </row>
    <row r="277" spans="2:9" ht="16.5" thickBot="1" x14ac:dyDescent="0.3">
      <c r="B277" s="365" t="s">
        <v>146</v>
      </c>
      <c r="C277" s="366"/>
      <c r="D277" s="366"/>
      <c r="E277" s="366"/>
      <c r="F277" s="366"/>
      <c r="G277" s="125"/>
      <c r="H277" s="126"/>
      <c r="I277" s="116"/>
    </row>
    <row r="278" spans="2:9" x14ac:dyDescent="0.25">
      <c r="B278" s="276" t="s">
        <v>61</v>
      </c>
      <c r="C278" s="277" t="s">
        <v>144</v>
      </c>
      <c r="D278" s="277" t="s">
        <v>64</v>
      </c>
      <c r="E278" s="277" t="s">
        <v>64</v>
      </c>
      <c r="F278" s="277" t="s">
        <v>65</v>
      </c>
      <c r="G278" s="80" t="s">
        <v>65</v>
      </c>
      <c r="H278" s="81" t="s">
        <v>145</v>
      </c>
      <c r="I278" s="128"/>
    </row>
    <row r="279" spans="2:9" ht="18.75" x14ac:dyDescent="0.25">
      <c r="B279" s="264" t="s">
        <v>147</v>
      </c>
      <c r="C279" s="265">
        <v>6750</v>
      </c>
      <c r="D279" s="269">
        <v>1</v>
      </c>
      <c r="E279" s="267">
        <f>4006.53*E10</f>
        <v>4163.986629</v>
      </c>
      <c r="F279" s="269">
        <v>0.5</v>
      </c>
      <c r="G279" s="203">
        <f>2003.27*E10</f>
        <v>2081.9985109999998</v>
      </c>
      <c r="H279" s="132">
        <f>SUM(E279*2)+G279</f>
        <v>10409.971769</v>
      </c>
      <c r="I279" s="117"/>
    </row>
    <row r="280" spans="2:9" ht="19.5" thickBot="1" x14ac:dyDescent="0.3">
      <c r="B280" s="270" t="s">
        <v>148</v>
      </c>
      <c r="C280" s="271">
        <v>4569.2299999999996</v>
      </c>
      <c r="D280" s="274">
        <v>1</v>
      </c>
      <c r="E280" s="273">
        <f>2370.06*E10</f>
        <v>2463.2033579999998</v>
      </c>
      <c r="F280" s="274">
        <v>0.5</v>
      </c>
      <c r="G280" s="204">
        <f>1185.03*E10</f>
        <v>1231.6016789999999</v>
      </c>
      <c r="H280" s="133">
        <f>SUM(E280*2)+G280</f>
        <v>6158.0083949999989</v>
      </c>
      <c r="I280" s="117"/>
    </row>
    <row r="281" spans="2:9" ht="18.75" x14ac:dyDescent="0.25">
      <c r="B281" s="278"/>
      <c r="C281" s="279"/>
      <c r="D281" s="280"/>
      <c r="E281" s="281"/>
      <c r="F281" s="280"/>
      <c r="I281" s="116"/>
    </row>
    <row r="282" spans="2:9" ht="18.75" x14ac:dyDescent="0.25">
      <c r="B282" s="90"/>
      <c r="C282" s="100"/>
      <c r="D282" s="92"/>
      <c r="E282" s="93"/>
      <c r="F282" s="92"/>
      <c r="I282" s="116"/>
    </row>
    <row r="283" spans="2:9" ht="18.75" x14ac:dyDescent="0.25">
      <c r="B283" s="90"/>
      <c r="C283" s="100"/>
      <c r="D283" s="92"/>
      <c r="E283" s="93"/>
      <c r="F283" s="92"/>
    </row>
    <row r="284" spans="2:9" ht="18.75" x14ac:dyDescent="0.25">
      <c r="B284" s="90"/>
      <c r="C284" s="100"/>
      <c r="D284" s="92"/>
      <c r="E284" s="93"/>
      <c r="F284" s="92"/>
    </row>
    <row r="285" spans="2:9" ht="18.75" x14ac:dyDescent="0.25">
      <c r="B285" s="90"/>
      <c r="C285" s="100"/>
      <c r="D285" s="92"/>
      <c r="E285" s="93"/>
      <c r="F285" s="92"/>
    </row>
    <row r="286" spans="2:9" ht="18.75" x14ac:dyDescent="0.25">
      <c r="B286" s="90"/>
      <c r="C286" s="100"/>
      <c r="D286" s="92"/>
      <c r="E286" s="93"/>
      <c r="F286" s="92"/>
    </row>
    <row r="287" spans="2:9" ht="18.75" x14ac:dyDescent="0.25">
      <c r="B287" s="90"/>
      <c r="C287" s="100"/>
      <c r="D287" s="92"/>
      <c r="E287" s="93"/>
      <c r="F287" s="92"/>
    </row>
    <row r="288" spans="2:9" ht="18.75" x14ac:dyDescent="0.25">
      <c r="B288" s="90"/>
      <c r="C288" s="100"/>
      <c r="D288" s="92"/>
      <c r="E288" s="93"/>
      <c r="F288" s="92"/>
    </row>
    <row r="289" spans="2:6" ht="18.75" x14ac:dyDescent="0.25">
      <c r="B289" s="90"/>
      <c r="C289" s="100"/>
      <c r="D289" s="92"/>
      <c r="E289" s="93"/>
      <c r="F289" s="92"/>
    </row>
    <row r="290" spans="2:6" ht="18.75" x14ac:dyDescent="0.25">
      <c r="B290" s="90"/>
      <c r="C290" s="100"/>
      <c r="D290" s="92"/>
      <c r="E290" s="93"/>
      <c r="F290" s="92"/>
    </row>
    <row r="291" spans="2:6" ht="18.75" x14ac:dyDescent="0.25">
      <c r="B291" s="90"/>
      <c r="C291" s="100"/>
      <c r="D291" s="92"/>
      <c r="E291" s="93"/>
      <c r="F291" s="92"/>
    </row>
    <row r="292" spans="2:6" ht="18.75" x14ac:dyDescent="0.25">
      <c r="B292" s="90"/>
      <c r="C292" s="100"/>
      <c r="D292" s="92"/>
      <c r="E292" s="93"/>
      <c r="F292" s="92"/>
    </row>
    <row r="293" spans="2:6" ht="18.75" x14ac:dyDescent="0.25">
      <c r="B293" s="90"/>
      <c r="C293" s="100"/>
      <c r="D293" s="92"/>
      <c r="E293" s="93"/>
      <c r="F293" s="92"/>
    </row>
    <row r="294" spans="2:6" ht="18.75" x14ac:dyDescent="0.25">
      <c r="B294" s="90"/>
      <c r="C294" s="100"/>
      <c r="D294" s="92"/>
      <c r="E294" s="93"/>
      <c r="F294" s="92"/>
    </row>
    <row r="295" spans="2:6" ht="18.75" x14ac:dyDescent="0.25">
      <c r="B295" s="90"/>
      <c r="C295" s="100"/>
      <c r="D295" s="92"/>
      <c r="E295" s="93"/>
      <c r="F295" s="92"/>
    </row>
    <row r="296" spans="2:6" ht="18.75" x14ac:dyDescent="0.25">
      <c r="B296" s="90"/>
      <c r="C296" s="100"/>
      <c r="D296" s="92"/>
      <c r="E296" s="93"/>
      <c r="F296" s="92"/>
    </row>
    <row r="297" spans="2:6" ht="15.75" thickBot="1" x14ac:dyDescent="0.3"/>
    <row r="298" spans="2:6" ht="16.5" thickBot="1" x14ac:dyDescent="0.3">
      <c r="B298" s="363" t="s">
        <v>151</v>
      </c>
      <c r="C298" s="364"/>
      <c r="D298" s="364"/>
      <c r="E298" s="364"/>
      <c r="F298" s="382"/>
    </row>
    <row r="299" spans="2:6" ht="16.5" thickBot="1" x14ac:dyDescent="0.3">
      <c r="B299" s="383" t="s">
        <v>152</v>
      </c>
      <c r="C299" s="384"/>
      <c r="D299" s="384"/>
      <c r="E299" s="384"/>
      <c r="F299" s="385"/>
    </row>
    <row r="300" spans="2:6" ht="15.75" thickBot="1" x14ac:dyDescent="0.3">
      <c r="B300" s="102" t="s">
        <v>23</v>
      </c>
      <c r="C300" s="101" t="s">
        <v>144</v>
      </c>
      <c r="D300" s="102" t="s">
        <v>125</v>
      </c>
      <c r="E300" s="102" t="s">
        <v>24</v>
      </c>
      <c r="F300" s="103" t="s">
        <v>128</v>
      </c>
    </row>
    <row r="301" spans="2:6" ht="18.75" x14ac:dyDescent="0.25">
      <c r="B301" s="96"/>
      <c r="C301" s="91"/>
      <c r="D301" s="293"/>
      <c r="E301" s="294" t="s">
        <v>8</v>
      </c>
      <c r="F301" s="142">
        <f>10450*E10</f>
        <v>10860.684999999999</v>
      </c>
    </row>
    <row r="302" spans="2:6" ht="18.75" x14ac:dyDescent="0.25">
      <c r="B302" s="97"/>
      <c r="C302" s="91"/>
      <c r="D302" s="295" t="s">
        <v>134</v>
      </c>
      <c r="E302" s="296" t="s">
        <v>9</v>
      </c>
      <c r="F302" s="132">
        <f>10086.34*E10</f>
        <v>10482.733161999999</v>
      </c>
    </row>
    <row r="303" spans="2:6" ht="19.5" thickBot="1" x14ac:dyDescent="0.3">
      <c r="B303" s="97"/>
      <c r="C303" s="91"/>
      <c r="D303" s="297"/>
      <c r="E303" s="298" t="s">
        <v>10</v>
      </c>
      <c r="F303" s="133">
        <f>9724.77*E10</f>
        <v>10106.953460999999</v>
      </c>
    </row>
    <row r="304" spans="2:6" ht="18.75" x14ac:dyDescent="0.25">
      <c r="B304" s="97"/>
      <c r="C304" s="88"/>
      <c r="D304" s="299"/>
      <c r="E304" s="300" t="s">
        <v>8</v>
      </c>
      <c r="F304" s="143">
        <f>9363.2*E10</f>
        <v>9731.1737599999997</v>
      </c>
    </row>
    <row r="305" spans="2:12" ht="18.75" x14ac:dyDescent="0.25">
      <c r="B305" s="98" t="s">
        <v>153</v>
      </c>
      <c r="C305" s="88"/>
      <c r="D305" s="301" t="s">
        <v>11</v>
      </c>
      <c r="E305" s="302" t="s">
        <v>9</v>
      </c>
      <c r="F305" s="144">
        <f>9001.63*E10</f>
        <v>9355.3940589999984</v>
      </c>
    </row>
    <row r="306" spans="2:12" ht="16.5" thickBot="1" x14ac:dyDescent="0.3">
      <c r="B306" s="95"/>
      <c r="C306" s="89"/>
      <c r="D306" s="303"/>
      <c r="E306" s="304" t="s">
        <v>10</v>
      </c>
      <c r="F306" s="145">
        <f>8640.06*E10</f>
        <v>8979.6143579999989</v>
      </c>
    </row>
    <row r="307" spans="2:12" ht="15.75" x14ac:dyDescent="0.25">
      <c r="B307" s="95"/>
      <c r="C307" s="89"/>
      <c r="D307" s="293"/>
      <c r="E307" s="294" t="s">
        <v>8</v>
      </c>
      <c r="F307" s="142">
        <f>8278.49*E10</f>
        <v>8603.8346569999994</v>
      </c>
    </row>
    <row r="308" spans="2:12" ht="15.75" x14ac:dyDescent="0.25">
      <c r="B308" s="95"/>
      <c r="C308" s="89"/>
      <c r="D308" s="295" t="s">
        <v>12</v>
      </c>
      <c r="E308" s="296" t="s">
        <v>9</v>
      </c>
      <c r="F308" s="132">
        <f>7916.92*E10</f>
        <v>8228.0549559999999</v>
      </c>
    </row>
    <row r="309" spans="2:12" ht="16.5" thickBot="1" x14ac:dyDescent="0.3">
      <c r="B309" s="98"/>
      <c r="C309" s="89"/>
      <c r="D309" s="297"/>
      <c r="E309" s="298" t="s">
        <v>10</v>
      </c>
      <c r="F309" s="133">
        <f>7555.35*E10</f>
        <v>7852.2752549999996</v>
      </c>
    </row>
    <row r="310" spans="2:12" ht="15.75" x14ac:dyDescent="0.25">
      <c r="B310" s="95"/>
      <c r="C310" s="94"/>
      <c r="D310" s="305"/>
      <c r="E310" s="306" t="s">
        <v>35</v>
      </c>
      <c r="F310" s="146">
        <f>7193.78*E10</f>
        <v>7476.4955539999992</v>
      </c>
    </row>
    <row r="311" spans="2:12" ht="15.75" x14ac:dyDescent="0.25">
      <c r="B311" s="95"/>
      <c r="C311" s="94"/>
      <c r="D311" s="305"/>
      <c r="E311" s="306" t="s">
        <v>7</v>
      </c>
      <c r="F311" s="144">
        <f>6832.2*E10</f>
        <v>7100.7054599999992</v>
      </c>
    </row>
    <row r="312" spans="2:12" ht="15.75" x14ac:dyDescent="0.25">
      <c r="B312" s="95"/>
      <c r="C312" s="94"/>
      <c r="D312" s="301" t="s">
        <v>13</v>
      </c>
      <c r="E312" s="306" t="s">
        <v>8</v>
      </c>
      <c r="F312" s="144">
        <f>6470.64*E10</f>
        <v>6724.9361519999993</v>
      </c>
    </row>
    <row r="313" spans="2:12" ht="15.75" x14ac:dyDescent="0.25">
      <c r="B313" s="95"/>
      <c r="C313" s="94"/>
      <c r="D313" s="301"/>
      <c r="E313" s="302" t="s">
        <v>9</v>
      </c>
      <c r="F313" s="144">
        <f>6109.07*E10</f>
        <v>6349.1564509999989</v>
      </c>
    </row>
    <row r="314" spans="2:12" ht="16.5" thickBot="1" x14ac:dyDescent="0.3">
      <c r="B314" s="99"/>
      <c r="C314" s="94"/>
      <c r="D314" s="307"/>
      <c r="E314" s="308" t="s">
        <v>10</v>
      </c>
      <c r="F314" s="147">
        <f>5747.5*E10</f>
        <v>5973.3767499999994</v>
      </c>
    </row>
    <row r="315" spans="2:12" ht="15.75" customHeight="1" thickBot="1" x14ac:dyDescent="0.3">
      <c r="C315" s="221"/>
    </row>
    <row r="316" spans="2:12" ht="18.75" x14ac:dyDescent="0.3">
      <c r="B316" s="222"/>
      <c r="C316" s="223"/>
      <c r="D316" s="224" t="s">
        <v>158</v>
      </c>
      <c r="E316" s="223"/>
      <c r="F316" s="223"/>
      <c r="G316" s="223"/>
      <c r="H316" s="223"/>
      <c r="I316" s="225"/>
    </row>
    <row r="317" spans="2:12" ht="16.5" thickBot="1" x14ac:dyDescent="0.3">
      <c r="B317" s="226"/>
      <c r="C317" s="125"/>
      <c r="D317" s="125"/>
      <c r="E317" s="227" t="s">
        <v>159</v>
      </c>
      <c r="F317" s="228"/>
      <c r="G317" s="228"/>
      <c r="H317" s="228"/>
      <c r="I317" s="126"/>
      <c r="J317" s="116"/>
      <c r="K317" s="116"/>
      <c r="L317" s="116"/>
    </row>
    <row r="318" spans="2:12" ht="16.5" thickBot="1" x14ac:dyDescent="0.3">
      <c r="B318" s="386" t="s">
        <v>154</v>
      </c>
      <c r="C318" s="387"/>
      <c r="D318" s="387"/>
      <c r="E318" s="387"/>
      <c r="F318" s="387"/>
      <c r="G318" s="114"/>
      <c r="H318" s="114"/>
      <c r="I318" s="115"/>
      <c r="J318" s="121"/>
      <c r="K318" s="121"/>
      <c r="L318" s="121"/>
    </row>
    <row r="319" spans="2:12" ht="15.75" thickBot="1" x14ac:dyDescent="0.3">
      <c r="B319" s="109" t="s">
        <v>23</v>
      </c>
      <c r="C319" s="110" t="s">
        <v>144</v>
      </c>
      <c r="D319" s="111" t="s">
        <v>125</v>
      </c>
      <c r="E319" s="112" t="s">
        <v>160</v>
      </c>
      <c r="F319" s="113" t="s">
        <v>161</v>
      </c>
      <c r="G319" s="112" t="s">
        <v>162</v>
      </c>
      <c r="H319" s="113" t="s">
        <v>163</v>
      </c>
      <c r="I319" s="113" t="s">
        <v>164</v>
      </c>
      <c r="J319" s="120"/>
      <c r="K319" s="120"/>
      <c r="L319" s="120"/>
    </row>
    <row r="320" spans="2:12" ht="18.75" x14ac:dyDescent="0.25">
      <c r="B320" s="96"/>
      <c r="C320" s="91"/>
      <c r="D320" s="285" t="s">
        <v>13</v>
      </c>
      <c r="E320" s="134">
        <f>4138.2*E10</f>
        <v>4300.831259999999</v>
      </c>
      <c r="F320" s="134">
        <f>4241.66*E10</f>
        <v>4408.3572379999996</v>
      </c>
      <c r="G320" s="134">
        <f>4347.7*E10</f>
        <v>4518.5646099999994</v>
      </c>
      <c r="H320" s="140">
        <f>4456.39*E10</f>
        <v>4631.5261270000001</v>
      </c>
      <c r="I320" s="140">
        <f>4567.8*E10</f>
        <v>4747.3145399999994</v>
      </c>
      <c r="J320" s="117"/>
      <c r="K320" s="118"/>
      <c r="L320" s="117"/>
    </row>
    <row r="321" spans="2:12" ht="18.75" x14ac:dyDescent="0.25">
      <c r="B321" s="97" t="s">
        <v>155</v>
      </c>
      <c r="C321" s="91"/>
      <c r="D321" s="285" t="s">
        <v>12</v>
      </c>
      <c r="E321" s="134">
        <f>4681.96*E10</f>
        <v>4865.9610279999997</v>
      </c>
      <c r="F321" s="134">
        <f>4799.01*E10</f>
        <v>4987.6110929999995</v>
      </c>
      <c r="G321" s="134">
        <f>4918.98*E10</f>
        <v>5112.2959139999994</v>
      </c>
      <c r="H321" s="140">
        <f>5041.96*E10</f>
        <v>5240.1090279999999</v>
      </c>
      <c r="I321" s="140">
        <f>5168.01*E10</f>
        <v>5371.1127929999993</v>
      </c>
      <c r="J321" s="117"/>
      <c r="K321" s="118"/>
      <c r="L321" s="117"/>
    </row>
    <row r="322" spans="2:12" ht="18.75" x14ac:dyDescent="0.25">
      <c r="B322" s="97"/>
      <c r="C322" s="91"/>
      <c r="D322" s="286" t="s">
        <v>11</v>
      </c>
      <c r="E322" s="134">
        <f>5297.17*E10</f>
        <v>5505.3487809999997</v>
      </c>
      <c r="F322" s="134">
        <f>5429.6*E10</f>
        <v>5642.9832799999995</v>
      </c>
      <c r="G322" s="134">
        <f>5565.34*E10</f>
        <v>5784.0578619999997</v>
      </c>
      <c r="H322" s="140">
        <f>5704.47*E10</f>
        <v>5928.6556709999995</v>
      </c>
      <c r="I322" s="140">
        <f>5847.09*E10</f>
        <v>6076.8806369999993</v>
      </c>
      <c r="J322" s="117"/>
      <c r="K322" s="118"/>
      <c r="L322" s="117"/>
    </row>
    <row r="323" spans="2:12" ht="19.5" thickBot="1" x14ac:dyDescent="0.3">
      <c r="B323" s="104"/>
      <c r="C323" s="91"/>
      <c r="D323" s="287" t="s">
        <v>134</v>
      </c>
      <c r="E323" s="135">
        <f>5993.22*E10</f>
        <v>6228.7535459999999</v>
      </c>
      <c r="F323" s="135">
        <f>6143.04*E10</f>
        <v>6384.461471999999</v>
      </c>
      <c r="G323" s="135">
        <f>6296.63*E10</f>
        <v>6544.0875589999996</v>
      </c>
      <c r="H323" s="141">
        <f>6454.03*E10</f>
        <v>6707.6733789999989</v>
      </c>
      <c r="I323" s="141">
        <f>6615.39*E10</f>
        <v>6875.3748269999996</v>
      </c>
      <c r="J323" s="117"/>
      <c r="K323" s="118"/>
      <c r="L323" s="117"/>
    </row>
    <row r="324" spans="2:12" ht="18.75" x14ac:dyDescent="0.25">
      <c r="B324" s="105"/>
      <c r="C324" s="91"/>
      <c r="D324" s="288" t="s">
        <v>13</v>
      </c>
      <c r="E324" s="136">
        <f>2758.8*E10</f>
        <v>2867.22084</v>
      </c>
      <c r="F324" s="136">
        <f>2827.77*E10</f>
        <v>2938.9013609999997</v>
      </c>
      <c r="G324" s="136">
        <f>2898.46*E10</f>
        <v>3012.3694779999996</v>
      </c>
      <c r="H324" s="148">
        <f>2970.92*E10</f>
        <v>3087.6771559999997</v>
      </c>
      <c r="I324" s="148">
        <f>3045.2*E10</f>
        <v>3164.8763599999993</v>
      </c>
      <c r="J324" s="117"/>
      <c r="K324" s="118"/>
      <c r="L324" s="117"/>
    </row>
    <row r="325" spans="2:12" ht="18.75" x14ac:dyDescent="0.3">
      <c r="B325" s="119" t="s">
        <v>156</v>
      </c>
      <c r="C325" s="94"/>
      <c r="D325" s="289" t="s">
        <v>12</v>
      </c>
      <c r="E325" s="137">
        <f>3121.31*E10</f>
        <v>3243.9774829999997</v>
      </c>
      <c r="F325" s="137">
        <f>3199.34*E10</f>
        <v>3325.0740619999997</v>
      </c>
      <c r="G325" s="137">
        <f>3279.32*E10</f>
        <v>3408.1972759999999</v>
      </c>
      <c r="H325" s="149">
        <f>3361.31*E10</f>
        <v>3493.4094829999995</v>
      </c>
      <c r="I325" s="149">
        <f>3445.33*E10</f>
        <v>3580.7314689999994</v>
      </c>
      <c r="J325" s="117"/>
      <c r="K325" s="118"/>
      <c r="L325" s="117"/>
    </row>
    <row r="326" spans="2:12" ht="15.75" x14ac:dyDescent="0.25">
      <c r="B326" s="95"/>
      <c r="C326" s="94"/>
      <c r="D326" s="290" t="s">
        <v>11</v>
      </c>
      <c r="E326" s="137">
        <f>3531.44*E10</f>
        <v>3670.2255919999998</v>
      </c>
      <c r="F326" s="137">
        <f>3619.73*E10</f>
        <v>3761.9853889999995</v>
      </c>
      <c r="G326" s="137">
        <f>3710.22*E10</f>
        <v>3856.0316459999995</v>
      </c>
      <c r="H326" s="149">
        <f>3802.98*E10</f>
        <v>3952.4371139999994</v>
      </c>
      <c r="I326" s="149">
        <f>3898.06*E10</f>
        <v>4051.2537579999994</v>
      </c>
      <c r="J326" s="117"/>
      <c r="K326" s="118"/>
      <c r="L326" s="117"/>
    </row>
    <row r="327" spans="2:12" ht="16.5" thickBot="1" x14ac:dyDescent="0.3">
      <c r="B327" s="95"/>
      <c r="C327" s="94"/>
      <c r="D327" s="290" t="s">
        <v>134</v>
      </c>
      <c r="E327" s="137">
        <f>3995.47*E10</f>
        <v>4152.4919709999995</v>
      </c>
      <c r="F327" s="137">
        <f>4095.37*E10</f>
        <v>4256.3180409999995</v>
      </c>
      <c r="G327" s="137">
        <f>4197.74*E10</f>
        <v>4362.7111819999991</v>
      </c>
      <c r="H327" s="149">
        <f>4302.69*E10</f>
        <v>4471.7857169999988</v>
      </c>
      <c r="I327" s="149">
        <f>4410.26*E10</f>
        <v>4583.5832179999998</v>
      </c>
      <c r="J327" s="117"/>
      <c r="K327" s="118"/>
      <c r="L327" s="117"/>
    </row>
    <row r="328" spans="2:12" ht="15.75" x14ac:dyDescent="0.25">
      <c r="B328" s="106"/>
      <c r="C328" s="107"/>
      <c r="D328" s="291" t="s">
        <v>13</v>
      </c>
      <c r="E328" s="138">
        <f>2225.85*E10</f>
        <v>2313.3259049999997</v>
      </c>
      <c r="F328" s="138">
        <f>2281.5*E10</f>
        <v>2371.1629499999999</v>
      </c>
      <c r="G328" s="138">
        <f>2338.53*E10</f>
        <v>2430.434229</v>
      </c>
      <c r="H328" s="150">
        <f>2397*E10</f>
        <v>2491.2020999999995</v>
      </c>
      <c r="I328" s="150">
        <f>2456.92*E10</f>
        <v>2553.476956</v>
      </c>
      <c r="J328" s="117"/>
      <c r="K328" s="118"/>
      <c r="L328" s="117"/>
    </row>
    <row r="329" spans="2:12" ht="18.75" x14ac:dyDescent="0.3">
      <c r="B329" s="119" t="s">
        <v>157</v>
      </c>
      <c r="C329" s="94"/>
      <c r="D329" s="285" t="s">
        <v>12</v>
      </c>
      <c r="E329" s="134">
        <f>2518.32*E10</f>
        <v>2617.289976</v>
      </c>
      <c r="F329" s="134">
        <f>2581.29*E10</f>
        <v>2682.7346969999999</v>
      </c>
      <c r="G329" s="134">
        <f>2645.81*E10</f>
        <v>2749.7903329999995</v>
      </c>
      <c r="H329" s="140">
        <f>2711.96*E10</f>
        <v>2818.5400279999999</v>
      </c>
      <c r="I329" s="140">
        <f>2779.76*E10</f>
        <v>2889.0045679999998</v>
      </c>
      <c r="J329" s="117"/>
      <c r="K329" s="118"/>
      <c r="L329" s="117"/>
    </row>
    <row r="330" spans="2:12" ht="15.75" x14ac:dyDescent="0.25">
      <c r="B330" s="95"/>
      <c r="C330" s="94"/>
      <c r="D330" s="286" t="s">
        <v>11</v>
      </c>
      <c r="E330" s="134">
        <f>2849.23*E10</f>
        <v>2961.2047389999998</v>
      </c>
      <c r="F330" s="134">
        <f>2920.46*E10</f>
        <v>3035.2340779999995</v>
      </c>
      <c r="G330" s="134">
        <f>2993.48*E10</f>
        <v>3111.1237639999995</v>
      </c>
      <c r="H330" s="140">
        <f>3068.32*E10</f>
        <v>3188.9049759999998</v>
      </c>
      <c r="I330" s="140">
        <f>3145.02*E10</f>
        <v>3268.6192859999996</v>
      </c>
      <c r="J330" s="117"/>
      <c r="K330" s="118"/>
      <c r="L330" s="117"/>
    </row>
    <row r="331" spans="2:12" ht="16.5" thickBot="1" x14ac:dyDescent="0.3">
      <c r="B331" s="99"/>
      <c r="C331" s="108"/>
      <c r="D331" s="292" t="s">
        <v>134</v>
      </c>
      <c r="E331" s="139">
        <f>3223.63*E10</f>
        <v>3350.3186589999996</v>
      </c>
      <c r="F331" s="139">
        <f>3304.22*E10</f>
        <v>3434.0758459999993</v>
      </c>
      <c r="G331" s="139">
        <f>3386.82*E10</f>
        <v>3519.9220259999997</v>
      </c>
      <c r="H331" s="151">
        <f>3471.49*E10</f>
        <v>3607.9195569999993</v>
      </c>
      <c r="I331" s="151">
        <f>3558.28*E10</f>
        <v>3698.1204039999998</v>
      </c>
      <c r="J331" s="117"/>
      <c r="K331" s="118"/>
      <c r="L331" s="117"/>
    </row>
    <row r="332" spans="2:12" ht="15.75" x14ac:dyDescent="0.25">
      <c r="B332" s="116"/>
      <c r="C332" s="116"/>
      <c r="D332" s="117"/>
      <c r="E332" s="118"/>
      <c r="F332" s="117"/>
      <c r="G332" s="118"/>
      <c r="H332" s="117"/>
      <c r="I332" s="118"/>
      <c r="J332" s="117"/>
      <c r="K332" s="118"/>
      <c r="L332" s="117"/>
    </row>
    <row r="333" spans="2:12" ht="15.75" x14ac:dyDescent="0.25">
      <c r="D333" s="93"/>
      <c r="E333" s="93"/>
      <c r="F333" s="92"/>
      <c r="G333" s="93"/>
      <c r="H333" s="92"/>
      <c r="I333" s="93"/>
      <c r="J333" s="92"/>
      <c r="K333" s="93"/>
      <c r="L333" s="92"/>
    </row>
    <row r="335" spans="2:12" ht="18.75" x14ac:dyDescent="0.3">
      <c r="B335" s="282" t="s">
        <v>166</v>
      </c>
      <c r="C335" s="283"/>
      <c r="D335" s="284">
        <v>0.1</v>
      </c>
      <c r="E335" s="283"/>
    </row>
    <row r="336" spans="2:12" ht="0.75" customHeight="1" thickBot="1" x14ac:dyDescent="0.3"/>
    <row r="337" spans="2:8" ht="35.25" customHeight="1" thickBot="1" x14ac:dyDescent="0.3">
      <c r="B337" s="388" t="s">
        <v>165</v>
      </c>
      <c r="C337" s="389"/>
      <c r="D337" s="389"/>
      <c r="E337" s="389"/>
      <c r="F337" s="389"/>
      <c r="G337" s="389"/>
      <c r="H337" s="390"/>
    </row>
    <row r="338" spans="2:8" ht="16.5" thickBot="1" x14ac:dyDescent="0.3">
      <c r="B338" s="339" t="s">
        <v>14</v>
      </c>
      <c r="C338" s="381"/>
      <c r="D338" s="340"/>
      <c r="E338" s="339" t="s">
        <v>15</v>
      </c>
      <c r="F338" s="340"/>
      <c r="G338" s="339" t="s">
        <v>16</v>
      </c>
      <c r="H338" s="340"/>
    </row>
    <row r="339" spans="2:8" ht="16.5" thickBot="1" x14ac:dyDescent="0.3">
      <c r="B339" s="11" t="s">
        <v>17</v>
      </c>
      <c r="C339" s="12"/>
      <c r="D339" s="152">
        <f>1452*E10</f>
        <v>1509.0636</v>
      </c>
      <c r="E339" s="12" t="s">
        <v>17</v>
      </c>
      <c r="F339" s="152">
        <f>1897.28*E10</f>
        <v>1971.8431039999998</v>
      </c>
      <c r="G339" s="12" t="s">
        <v>17</v>
      </c>
      <c r="H339" s="152">
        <f>2479.11*E10</f>
        <v>2576.5390229999998</v>
      </c>
    </row>
    <row r="340" spans="2:8" ht="16.5" thickBot="1" x14ac:dyDescent="0.3">
      <c r="B340" s="11" t="s">
        <v>18</v>
      </c>
      <c r="C340" s="12"/>
      <c r="D340" s="152">
        <f>1524.6*E10</f>
        <v>1584.5167799999997</v>
      </c>
      <c r="E340" s="12" t="s">
        <v>18</v>
      </c>
      <c r="F340" s="152">
        <f>1992.14*E10</f>
        <v>2070.431102</v>
      </c>
      <c r="G340" s="12" t="s">
        <v>18</v>
      </c>
      <c r="H340" s="152">
        <f>2603.07*E10</f>
        <v>2705.3706509999997</v>
      </c>
    </row>
    <row r="341" spans="2:8" ht="16.5" thickBot="1" x14ac:dyDescent="0.3">
      <c r="B341" s="11" t="s">
        <v>19</v>
      </c>
      <c r="C341" s="12"/>
      <c r="D341" s="152">
        <f>1600.83*E10</f>
        <v>1663.7426189999996</v>
      </c>
      <c r="E341" s="12" t="s">
        <v>19</v>
      </c>
      <c r="F341" s="152">
        <f>2091.75*E10</f>
        <v>2173.9557749999999</v>
      </c>
      <c r="G341" s="12" t="s">
        <v>19</v>
      </c>
      <c r="H341" s="152">
        <f>2733.22*E10</f>
        <v>2840.6355459999995</v>
      </c>
    </row>
    <row r="342" spans="2:8" ht="16.5" thickBot="1" x14ac:dyDescent="0.3">
      <c r="B342" s="11" t="s">
        <v>20</v>
      </c>
      <c r="C342" s="12"/>
      <c r="D342" s="152">
        <f>1680.87*E10</f>
        <v>1746.9281909999997</v>
      </c>
      <c r="E342" s="12" t="s">
        <v>20</v>
      </c>
      <c r="F342" s="152">
        <f>2196.34*E10</f>
        <v>2282.6561619999998</v>
      </c>
      <c r="G342" s="12" t="s">
        <v>20</v>
      </c>
      <c r="H342" s="152">
        <f>2869.88*E10</f>
        <v>2982.6662839999999</v>
      </c>
    </row>
    <row r="343" spans="2:8" ht="16.5" thickBot="1" x14ac:dyDescent="0.3">
      <c r="B343" s="11" t="s">
        <v>21</v>
      </c>
      <c r="C343" s="12"/>
      <c r="D343" s="152">
        <f>1764.92*E10</f>
        <v>1834.281356</v>
      </c>
      <c r="E343" s="12" t="s">
        <v>21</v>
      </c>
      <c r="F343" s="152">
        <f>2306.16*E10</f>
        <v>2396.7920879999997</v>
      </c>
      <c r="G343" s="12" t="s">
        <v>21</v>
      </c>
      <c r="H343" s="152">
        <f>3013.38*E10</f>
        <v>3131.8058339999998</v>
      </c>
    </row>
    <row r="344" spans="2:8" ht="16.5" thickBot="1" x14ac:dyDescent="0.3">
      <c r="B344" s="11"/>
      <c r="C344" s="12"/>
      <c r="D344" s="14"/>
      <c r="E344" s="12"/>
      <c r="F344" s="14"/>
      <c r="G344" s="12"/>
      <c r="H344" s="15"/>
    </row>
  </sheetData>
  <mergeCells count="74">
    <mergeCell ref="B337:H337"/>
    <mergeCell ref="B338:D338"/>
    <mergeCell ref="E338:F338"/>
    <mergeCell ref="G338:H338"/>
    <mergeCell ref="B298:F298"/>
    <mergeCell ref="B299:F299"/>
    <mergeCell ref="B318:F318"/>
    <mergeCell ref="B267:F267"/>
    <mergeCell ref="B268:F268"/>
    <mergeCell ref="B276:F276"/>
    <mergeCell ref="B277:F277"/>
    <mergeCell ref="D43:I43"/>
    <mergeCell ref="B97:D97"/>
    <mergeCell ref="B113:B114"/>
    <mergeCell ref="D113:D114"/>
    <mergeCell ref="E113:I114"/>
    <mergeCell ref="B87:D87"/>
    <mergeCell ref="D251:D253"/>
    <mergeCell ref="B173:D173"/>
    <mergeCell ref="B179:D179"/>
    <mergeCell ref="D245:D247"/>
    <mergeCell ref="D248:D250"/>
    <mergeCell ref="B222:I222"/>
    <mergeCell ref="B223:I223"/>
    <mergeCell ref="B225:E225"/>
    <mergeCell ref="B242:I242"/>
    <mergeCell ref="B243:I243"/>
    <mergeCell ref="A5:H5"/>
    <mergeCell ref="A6:H6"/>
    <mergeCell ref="A8:G8"/>
    <mergeCell ref="B14:B15"/>
    <mergeCell ref="D14:D15"/>
    <mergeCell ref="B19:H19"/>
    <mergeCell ref="B20:D20"/>
    <mergeCell ref="B21:D21"/>
    <mergeCell ref="B22:D22"/>
    <mergeCell ref="B23:D23"/>
    <mergeCell ref="D99:D100"/>
    <mergeCell ref="B26:E26"/>
    <mergeCell ref="B41:I41"/>
    <mergeCell ref="B42:I42"/>
    <mergeCell ref="B98:D98"/>
    <mergeCell ref="B52:I52"/>
    <mergeCell ref="D53:I53"/>
    <mergeCell ref="B62:D62"/>
    <mergeCell ref="B63:D63"/>
    <mergeCell ref="B75:D75"/>
    <mergeCell ref="B76:D76"/>
    <mergeCell ref="B86:D86"/>
    <mergeCell ref="F62:H62"/>
    <mergeCell ref="F63:H63"/>
    <mergeCell ref="F64:G64"/>
    <mergeCell ref="F65:G65"/>
    <mergeCell ref="F66:G66"/>
    <mergeCell ref="F67:G67"/>
    <mergeCell ref="L113:L114"/>
    <mergeCell ref="B115:B117"/>
    <mergeCell ref="D115:D117"/>
    <mergeCell ref="E115:E117"/>
    <mergeCell ref="F115:F117"/>
    <mergeCell ref="G115:G117"/>
    <mergeCell ref="H115:H117"/>
    <mergeCell ref="I115:I117"/>
    <mergeCell ref="J115:J117"/>
    <mergeCell ref="B160:D160"/>
    <mergeCell ref="B132:G132"/>
    <mergeCell ref="B133:G133"/>
    <mergeCell ref="J113:J114"/>
    <mergeCell ref="K113:K114"/>
    <mergeCell ref="F68:G68"/>
    <mergeCell ref="F69:G69"/>
    <mergeCell ref="F70:G70"/>
    <mergeCell ref="F74:H74"/>
    <mergeCell ref="F75:H75"/>
  </mergeCells>
  <pageMargins left="0" right="0" top="0.78740157480314965" bottom="0.78740157480314965" header="0.31496062992125984" footer="0.31496062992125984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Tania de Souza Bernardes</cp:lastModifiedBy>
  <cp:lastPrinted>2024-06-20T14:56:10Z</cp:lastPrinted>
  <dcterms:created xsi:type="dcterms:W3CDTF">2023-06-21T18:16:05Z</dcterms:created>
  <dcterms:modified xsi:type="dcterms:W3CDTF">2024-10-31T18:54:54Z</dcterms:modified>
</cp:coreProperties>
</file>